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210" tabRatio="880" activeTab="0"/>
  </bookViews>
  <sheets>
    <sheet name="15" sheetId="1" r:id="rId1"/>
    <sheet name="16" sheetId="2" r:id="rId2"/>
    <sheet name="17" sheetId="3" r:id="rId3"/>
    <sheet name="30" sheetId="4" r:id="rId4"/>
    <sheet name="Biểu 31 xã" sheetId="5" r:id="rId5"/>
    <sheet name="Biểu 32 xã" sheetId="6" r:id="rId6"/>
    <sheet name="33" sheetId="7" r:id="rId7"/>
    <sheet name="34" sheetId="8" r:id="rId8"/>
    <sheet name="Biểu 35 huyện" sheetId="9" r:id="rId9"/>
    <sheet name="Biểu 35 xã" sheetId="10" state="hidden" r:id="rId10"/>
    <sheet name="36" sheetId="11" r:id="rId11"/>
    <sheet name="Biểu 37 huyện" sheetId="12" r:id="rId12"/>
    <sheet name="Biểu 37 xã" sheetId="13" state="hidden" r:id="rId13"/>
    <sheet name="Biểu 39 xã" sheetId="14" r:id="rId14"/>
    <sheet name="Biểu 40" sheetId="15" state="hidden" r:id="rId15"/>
    <sheet name="38" sheetId="16" r:id="rId16"/>
    <sheet name="Biểu 41xã" sheetId="17" r:id="rId17"/>
    <sheet name="Biểu 46 " sheetId="18" r:id="rId18"/>
  </sheets>
  <externalReferences>
    <externalReference r:id="rId21"/>
  </externalReferences>
  <definedNames>
    <definedName name="chuong_phuluc_15" localSheetId="0">'15'!$A$1</definedName>
    <definedName name="chuong_phuluc_15_name" localSheetId="0">'15'!$A$2</definedName>
    <definedName name="chuong_phuluc_16" localSheetId="1">'16'!$A$1</definedName>
    <definedName name="chuong_phuluc_16_name" localSheetId="1">'16'!$A$2</definedName>
    <definedName name="chuong_phuluc_17" localSheetId="2">'17'!$A$1</definedName>
    <definedName name="chuong_phuluc_17_name" localSheetId="2">'17'!$A$2</definedName>
    <definedName name="chuong_phuluc_30" localSheetId="3">'30'!$G$1</definedName>
    <definedName name="chuong_phuluc_30_name" localSheetId="3">'30'!$A$2</definedName>
    <definedName name="chuong_phuluc_33" localSheetId="6">'33'!$E$1</definedName>
    <definedName name="chuong_phuluc_33_name" localSheetId="6">'33'!$A$2</definedName>
    <definedName name="chuong_phuluc_34_name" localSheetId="7">'34'!$A$2</definedName>
    <definedName name="_xlnm.Print_Titles" localSheetId="1">'16'!$5:$7</definedName>
    <definedName name="_xlnm.Print_Titles" localSheetId="8">'Biểu 35 huyện'!$5:$7</definedName>
    <definedName name="_xlnm.Print_Titles" localSheetId="11">'Biểu 37 huyện'!$5:$7</definedName>
  </definedNames>
  <calcPr fullCalcOnLoad="1"/>
</workbook>
</file>

<file path=xl/sharedStrings.xml><?xml version="1.0" encoding="utf-8"?>
<sst xmlns="http://schemas.openxmlformats.org/spreadsheetml/2006/main" count="1248" uniqueCount="570">
  <si>
    <t>NGÂN SÁCH CẤP HUYỆN</t>
  </si>
  <si>
    <t>Chi thuộc nhiệm vụ của ngân sách cấp huyện</t>
  </si>
  <si>
    <t>NGÂN SÁCH XÃ</t>
  </si>
  <si>
    <t>Chi thuộc nhiệm vụ của ngân sách cấp xã</t>
  </si>
  <si>
    <t>STT</t>
  </si>
  <si>
    <t>Nội dung</t>
  </si>
  <si>
    <t>A</t>
  </si>
  <si>
    <t>B</t>
  </si>
  <si>
    <t>-</t>
  </si>
  <si>
    <t>Đơn vị: Triệu đồng</t>
  </si>
  <si>
    <t>Thu nội địa</t>
  </si>
  <si>
    <t>II</t>
  </si>
  <si>
    <t>III</t>
  </si>
  <si>
    <t>IV</t>
  </si>
  <si>
    <t>C</t>
  </si>
  <si>
    <t>I</t>
  </si>
  <si>
    <t>Thu bổ sung có mục tiêu</t>
  </si>
  <si>
    <t>D</t>
  </si>
  <si>
    <t>TỔNG CHI NSĐP</t>
  </si>
  <si>
    <t>Chi đầu tư phát triển (1)</t>
  </si>
  <si>
    <t>Chi thường xuyên</t>
  </si>
  <si>
    <t>Chi tạo nguồn, điều chỉnh tiền lương</t>
  </si>
  <si>
    <t>E</t>
  </si>
  <si>
    <t>Từ nguồn vay để trả nợ gốc</t>
  </si>
  <si>
    <t>V</t>
  </si>
  <si>
    <t>Ghi chú: </t>
  </si>
  <si>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</si>
  <si>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Trong đó:</t>
  </si>
  <si>
    <t>So sánh</t>
  </si>
  <si>
    <t>Tuyệt đối</t>
  </si>
  <si>
    <t>Thu NSĐP được hưởng theo phân cấp</t>
  </si>
  <si>
    <t>Thu bổ sung cân đối ngân sách</t>
  </si>
  <si>
    <t>Thu từ quỹ dự trữ tài chính</t>
  </si>
  <si>
    <t>Thu chuyển nguồn từ năm trước chuyển sang</t>
  </si>
  <si>
    <t>Dự phòng ngân sách</t>
  </si>
  <si>
    <t>Chi các chương trình mục tiêu quốc gia</t>
  </si>
  <si>
    <t>Chi các chương trình mục tiêu, nhiệm vụ</t>
  </si>
  <si>
    <t>Chi chuyển nguồn sang năm sau</t>
  </si>
  <si>
    <t>Vay để bù đắp bội chi</t>
  </si>
  <si>
    <t>Nội dung</t>
  </si>
  <si>
    <t>Thu từ khu vực doanh nghiệp có vốn đầu tư nước ngoài (3)</t>
  </si>
  <si>
    <t>Thu từ khu vực kinh tế ngoài quốc doanh (4)</t>
  </si>
  <si>
    <t>Thuế thu nhập cá nhân</t>
  </si>
  <si>
    <t>Thu từ dầu thô</t>
  </si>
  <si>
    <t>Thu từ hoạt động xuất, nhập khẩu</t>
  </si>
  <si>
    <t>Ghi chú:</t>
  </si>
  <si>
    <t>Thu ngân sách được hưởng theo phân cấp</t>
  </si>
  <si>
    <t>Thu bổ sung từ ngân sách cấp trên</t>
  </si>
  <si>
    <t>Thu kết dư</t>
  </si>
  <si>
    <t>Chi ngân sách</t>
  </si>
  <si>
    <t>Chi bổ sung cân đối ngân sách</t>
  </si>
  <si>
    <t>Chi bổ sung có mục tiêu</t>
  </si>
  <si>
    <t>Chi bổ sung cho ngân sách cấp dưới</t>
  </si>
  <si>
    <t>(2)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</si>
  <si>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3=2-1</t>
  </si>
  <si>
    <t>4=2/1</t>
  </si>
  <si>
    <t>Thu NSĐP hưởng 100%</t>
  </si>
  <si>
    <t>Thu NSĐP hưởng từ các khoản thu phân chia</t>
  </si>
  <si>
    <t>Tổng chi cân đối NSĐP</t>
  </si>
  <si>
    <t>So sánh (%)</t>
  </si>
  <si>
    <t>Tổng thu NSNN</t>
  </si>
  <si>
    <t>Thu NSĐP</t>
  </si>
  <si>
    <t>5=3/1</t>
  </si>
  <si>
    <t>6=4/2</t>
  </si>
  <si>
    <t>TỔNG THU NSNN</t>
  </si>
  <si>
    <t>(Chi tiết theo sắc thuế)</t>
  </si>
  <si>
    <t>Thu phí, lệ phí</t>
  </si>
  <si>
    <t>Phí và lệ phí xã, phường</t>
  </si>
  <si>
    <t>Thuế sử dụng đất nông nghiệp</t>
  </si>
  <si>
    <t>Tiền cho thuê đất, thuê mặt nước</t>
  </si>
  <si>
    <t>Thu tiền cấp quyền khai thác khoáng sản</t>
  </si>
  <si>
    <t>Thu khác ngân sách</t>
  </si>
  <si>
    <t>Thu hồi vốn, thu cổ tức (5)</t>
  </si>
  <si>
    <t>Thuế nhập khẩu</t>
  </si>
  <si>
    <t>Thuế BVMT thu từ hàng hóa nhập khẩu</t>
  </si>
  <si>
    <t>Thu khác</t>
  </si>
  <si>
    <t>Thu viện trợ</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</si>
  <si>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</si>
  <si>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</si>
  <si>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Tương đối (%)</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</si>
  <si>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</si>
  <si>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</si>
  <si>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</si>
  <si>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</si>
  <si>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</si>
  <si>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</si>
  <si>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</si>
  <si>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</si>
  <si>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</si>
  <si>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</si>
  <si>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</si>
  <si>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CÁC CHƯƠNG TRÌNH MỤC TIÊU</t>
  </si>
  <si>
    <t>So sánh (3)</t>
  </si>
  <si>
    <t>Tương đối (%)</t>
  </si>
  <si>
    <t>TỔNG NGUỒN THU NSĐP</t>
  </si>
  <si>
    <t>Thu chuyển nguồn từ năm trước chuyển sang</t>
  </si>
  <si>
    <t>Chi đầu tư phát triển (1)</t>
  </si>
  <si>
    <t>Chi trả nợ lãi các khoản do chính quyền địa phương vay (2)</t>
  </si>
  <si>
    <t>Chi bổ sung quỹ dự trữ tài chính (2)</t>
  </si>
  <si>
    <t>Chi các chương trình mục tiêu</t>
  </si>
  <si>
    <t>Chi chuyển nguồn sang năm sau</t>
  </si>
  <si>
    <t>BỘI CHI NSĐP/BỘI THU NSĐP (2)</t>
  </si>
  <si>
    <t>CHI TRẢ NỢ GỐC CỦA NSĐP (2)</t>
  </si>
  <si>
    <t>Từ nguồn bội thu, tăng thu, tiết kiệm chi, kết dư ngân sách cấp tỉnh</t>
  </si>
  <si>
    <t>TỔNG MỨC VAY CỦA NSĐP (2)</t>
  </si>
  <si>
    <t>Vay để trả nợ gốc</t>
  </si>
  <si>
    <t>(2) Theo quy định tại Điều 7, Điều 11 Luật NSNN, ngân sách huyện, xã không có nhiệm vụ chi trả nợ lãi vay, thu - chi quỹ dự trữ tài chính, bội chi NSĐP, vay và chi trả nợ gốc.</t>
  </si>
  <si>
    <t>(3) Đối với các chỉ tiêu thu NSĐP, so sánh dự toán năm kế hoạch với ước thực hiện năm hiện hành. Đối với các chỉ tiêu chi NSĐP, so sánh dự toán năm kế hoạch với dự toán năm hiện hành.</t>
  </si>
  <si>
    <t>Biểu mẫu số 16</t>
  </si>
  <si>
    <t>Thu từ khu vực DNNN do trung ương quản lý (1)</t>
  </si>
  <si>
    <t>Thu từ khu vực DNNN do địa phương quản lý (2)</t>
  </si>
  <si>
    <t>Thuế bảo vệ môi trường</t>
  </si>
  <si>
    <t>Thuế BVMT thu từ hàng hóa sản xuất, kinh doanh trong nước</t>
  </si>
  <si>
    <t>Lệ phí trước bạ</t>
  </si>
  <si>
    <t>Phí và lệ phí trung ương</t>
  </si>
  <si>
    <t>Phí và lệ phí tỉnh</t>
  </si>
  <si>
    <t>Phí và lệ phí huyện</t>
  </si>
  <si>
    <t>Thuế sử dụng đất phi nông nghiệp</t>
  </si>
  <si>
    <t>Thu từ hoạt động xổ số kiến thiết</t>
  </si>
  <si>
    <t>Thu từ quỹ đất công ích, hoa lợi công sản khác</t>
  </si>
  <si>
    <t>Lợi nhuận được chia của Nhà nước và lợi nhuận sau thuế còn lại sau khi trích lập các quỹ của doanh nghiệp nhà nước (5)</t>
  </si>
  <si>
    <t>Chênh lệch thu chi Ngân hàng Nhà nước (5)</t>
  </si>
  <si>
    <t>Thuế GTGT thu từ hàng hóa nhập khẩu</t>
  </si>
  <si>
    <t>Thuế xuất khẩu</t>
  </si>
  <si>
    <t>Thuế TTĐB thu từ hàng hóa nhập khẩu</t>
  </si>
  <si>
    <t>Thuế BVMT thu từ hàng hóa nhập khẩu</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</si>
  <si>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</si>
  <si>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</si>
  <si>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</si>
  <si>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Thu tiền sử dụng đất</t>
  </si>
  <si>
    <t>Tiền cho thuê và tiền bán nhà ở thuộc sở hữu nhà nước</t>
  </si>
  <si>
    <t>Biểu mẫu số 17</t>
  </si>
  <si>
    <t>Trong đó: Chia theo lĩnh vực</t>
  </si>
  <si>
    <t>Chi khoa học và công nghệ (2)</t>
  </si>
  <si>
    <t>CHI CHUYỂN NGUỒN SANG NĂM SAU</t>
  </si>
  <si>
    <t>(2) Theo quy định tại Điều 7, Điều 11 và Điều 39 Luật NSNN, ngân sách huyện, xã không có nhiệm vụ chi nghiên cứu khoa học và công nghệ, chi trả lãi vay, chi bổ sung quỹ dự trữ tài chính.</t>
  </si>
  <si>
    <r>
      <t>Ghi chú:</t>
    </r>
    <r>
      <rPr>
        <i/>
        <sz val="11"/>
        <color indexed="63"/>
        <rFont val="Times New Roman"/>
        <family val="1"/>
      </rPr>
      <t> </t>
    </r>
  </si>
  <si>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</si>
  <si>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Thu từ quỹ dự trữ tài chính (1)</t>
  </si>
  <si>
    <t>Bao gồm</t>
  </si>
  <si>
    <t>Ngân sách địa phương</t>
  </si>
  <si>
    <t>1=2+3</t>
  </si>
  <si>
    <t>Chi đầu tư từ nguồn thu xổ số kiến thiết</t>
  </si>
  <si>
    <t>CHI BỔ SUNG CÂN ĐỐI CHO NGÂN SÁCH CẤP DƯỚI (1)</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</si>
  <si>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</si>
  <si>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</si>
  <si>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</si>
  <si>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</si>
  <si>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</si>
  <si>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</si>
  <si>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</si>
  <si>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</si>
  <si>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</si>
  <si>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</si>
  <si>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</si>
  <si>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</si>
  <si>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(2) Theo quy định tại Điều 7, Điều 11 và Điều 39 Luật NSNN, ngân sách huyện, xã không có nhiệm vụ chi nghiên cứu khoa học và công nghệ, chi trả lãi vay, chi bổ sung quỹ dự trữ tài chính.</t>
  </si>
  <si>
    <t>(1) Ngân sách xã không có nhiệm vụ chi bổ sung cân đối cho ngân sách cấp dưới.</t>
  </si>
  <si>
    <t>Biểu mẫu số 30</t>
  </si>
  <si>
    <t xml:space="preserve">Nguồn thu ngân sách </t>
  </si>
  <si>
    <t>Bội chi NSĐP/Bội thu NSĐP (1)</t>
  </si>
  <si>
    <t xml:space="preserve">Chi ngân sách </t>
  </si>
  <si>
    <t>Chi bổ sung cho ngân sách cấp dưới (2)</t>
  </si>
  <si>
    <t>(2) Ngân sách xã không có nhiệm vụ chi bổ sung cho ngân sách cấp dưới.</t>
  </si>
  <si>
    <r>
      <t>Ghi chú:</t>
    </r>
    <r>
      <rPr>
        <i/>
        <sz val="12"/>
        <color indexed="8"/>
        <rFont val="Times New Roman"/>
        <family val="1"/>
      </rPr>
      <t xml:space="preserve"> </t>
    </r>
  </si>
  <si>
    <t>(1) Theo quy định tại Điều 7, Điều 11 Luật NSNN, ngân sách huyện không có thu từ quỹ dự trữ tài chính, bội chi NSĐP.</t>
  </si>
  <si>
    <t>Biểu mẫu số 31</t>
  </si>
  <si>
    <t>Biểu mẫu số 32</t>
  </si>
  <si>
    <t>Biểu mẫu số 33</t>
  </si>
  <si>
    <t xml:space="preserve">Chi đầu tư phát triển (1) </t>
  </si>
  <si>
    <t xml:space="preserve">Chi khoa học và công nghệ </t>
  </si>
  <si>
    <t xml:space="preserve">Chi các chương trình mục tiêu, nhiệm vụ </t>
  </si>
  <si>
    <t>Biểu mẫu số 34</t>
  </si>
  <si>
    <t>Dự toán</t>
  </si>
  <si>
    <t xml:space="preserve">Chi đầu tư phát triển (2) </t>
  </si>
  <si>
    <t xml:space="preserve">Chi hoạt động của cơ quan quản lý nhà nước, đảng, đoàn thể </t>
  </si>
  <si>
    <t>Chi đầu tư và hỗ trợ vốn cho các doanh nghiệp cung cấp sản phẩm, dịch vụ công ích do Nhà nước đặt hàng, các tổ chức kinh tế,</t>
  </si>
  <si>
    <t>Chi khoa học và công nghệ (3)</t>
  </si>
  <si>
    <t>Chi trả nợ lãi các khoản do chính quyền địa phương vay (3)</t>
  </si>
  <si>
    <t>Chi bổ sung quỹ dự trữ tài chính (3)</t>
  </si>
  <si>
    <t>(3) Theo quy định tại Điều 7, Điều 11 và Điều 39 Luật NSNN, ngân sách huyện, xã không có nhiệm vụ chi nghiên cứu khoa học và công nghệ, chi trả lãi vay, chi bổ sung quỹ dự trữ tài chính.</t>
  </si>
  <si>
    <t>Biểu mẫu số 35</t>
  </si>
  <si>
    <t>Biểu mẫu số 37</t>
  </si>
  <si>
    <t>Biểu mẫu số 39</t>
  </si>
  <si>
    <t>Biểu mẫu số 41</t>
  </si>
  <si>
    <t>Thuế GTGT</t>
  </si>
  <si>
    <t>Thuế môn bài</t>
  </si>
  <si>
    <t>Thuế TNDN</t>
  </si>
  <si>
    <t xml:space="preserve">Thuế tài nguyên </t>
  </si>
  <si>
    <t>TỔNG CHI NSĐP</t>
  </si>
  <si>
    <t>Thu  NSĐP</t>
  </si>
  <si>
    <t>Chương trình MTQG giảm nghèo bền vững</t>
  </si>
  <si>
    <t>Chương trình MTQG nông thôn mới</t>
  </si>
  <si>
    <t>Biểu số 15</t>
  </si>
  <si>
    <t>Chi mục tiêu thực hiện các chế độ, chinh sách</t>
  </si>
  <si>
    <t>Chi y tế, dân số và gia đình (KP mua thẻ BHXH)</t>
  </si>
  <si>
    <r>
      <t>Chi đầu tư từ</t>
    </r>
    <r>
      <rPr>
        <sz val="11"/>
        <rFont val="Times New Roman"/>
        <family val="1"/>
      </rPr>
      <t> </t>
    </r>
    <r>
      <rPr>
        <i/>
        <sz val="11"/>
        <rFont val="Times New Roman"/>
        <family val="1"/>
      </rPr>
      <t>nguồn thu tiền sử dụng đất</t>
    </r>
  </si>
  <si>
    <t>TT</t>
  </si>
  <si>
    <t>Danh mục dự án</t>
  </si>
  <si>
    <t>Quyết định đầu tư</t>
  </si>
  <si>
    <t>Tổng mức đầu tư được duyệt</t>
  </si>
  <si>
    <t>Tổng số (tất cả các nguồn vốn)</t>
  </si>
  <si>
    <t>Chia theo nguồn vốn</t>
  </si>
  <si>
    <t xml:space="preserve">Tổng số </t>
  </si>
  <si>
    <t>Ngoài nước</t>
  </si>
  <si>
    <t>Ngân sách trung ương</t>
  </si>
  <si>
    <t>TỔNG SỐ</t>
  </si>
  <si>
    <t>1</t>
  </si>
  <si>
    <t>Đơn vị: Nghìn đồng</t>
  </si>
  <si>
    <t xml:space="preserve">Tên đơn vị </t>
  </si>
  <si>
    <t>Tổng số</t>
  </si>
  <si>
    <t>Thu từ hoạt động XNK</t>
  </si>
  <si>
    <t>9=5/1</t>
  </si>
  <si>
    <t>10=6/2</t>
  </si>
  <si>
    <t>11=7/3</t>
  </si>
  <si>
    <t>12=8/4</t>
  </si>
  <si>
    <t xml:space="preserve">TỔNG SỐ </t>
  </si>
  <si>
    <t xml:space="preserve">Ghi chú: </t>
  </si>
  <si>
    <t>(1) Thu ngân sách nhà nước trên địa bàn tỉnh chi tiết đến từng huyện; thu ngân sách nhà nước trên địa bàn huyện chi tiết đến từng xã.</t>
  </si>
  <si>
    <t>(2) Thu NSNN trên địa bàn huyện, xã không có thu từ dầu thô, thu từ hoạt động xuất, nhập khẩu. Các chỉ tiêu cột 3, 4, 7, 8 chỉ ghi dòng tổng số.</t>
  </si>
  <si>
    <t>Tên đơn vị (1)</t>
  </si>
  <si>
    <t>Tổng thu NSNN trên địa bàn</t>
  </si>
  <si>
    <t>I- Thu nội địa (2)</t>
  </si>
  <si>
    <t>II- Thu từ dầu thô (3)</t>
  </si>
  <si>
    <t>III- Thu từ hoạt động xuất nhập khẩu (3)</t>
  </si>
  <si>
    <t>Thu lệ phí
trước bạ</t>
  </si>
  <si>
    <t>Thuế
phi nông nghiệp</t>
  </si>
  <si>
    <t>Thu phí và lệ phí</t>
  </si>
  <si>
    <t>Thu tiền sử dụng đất</t>
  </si>
  <si>
    <t xml:space="preserve">Thu tiền
thuê đất </t>
  </si>
  <si>
    <t>Thuế 
TNCN</t>
  </si>
  <si>
    <t>Thuế
GTGT</t>
  </si>
  <si>
    <t>Thuế
 tài nguyên</t>
  </si>
  <si>
    <t>Thu khác NS</t>
  </si>
  <si>
    <t>Tổng cộng</t>
  </si>
  <si>
    <t>Phí môn bài</t>
  </si>
  <si>
    <t>Lệ phí không bao gồm môn bài</t>
  </si>
  <si>
    <t>(2) Thu nội địa chi tiết từng khu vực thu, khoản thu.</t>
  </si>
  <si>
    <t>(3) Thu NSNN trên địa bàn huyện, xã không có thu từ dầu thô, thu từ hoạt động xuất, nhập khẩu. Các chỉ tiêu cột 6, 7, 8, 9, 10, 11, 12, 13 chỉ ghi dòng tổng số.</t>
  </si>
  <si>
    <t>Tên đơn vị</t>
  </si>
  <si>
    <r>
      <t xml:space="preserve">Chi đầu tư phát triển </t>
    </r>
    <r>
      <rPr>
        <sz val="12"/>
        <color indexed="8"/>
        <rFont val="Times New Roman"/>
        <family val="1"/>
      </rPr>
      <t>(Không kể chương trình MTQG)</t>
    </r>
  </si>
  <si>
    <r>
      <t xml:space="preserve">Chi thường xuyên </t>
    </r>
    <r>
      <rPr>
        <sz val="12"/>
        <color indexed="8"/>
        <rFont val="Times New Roman"/>
        <family val="1"/>
      </rPr>
      <t>(Không kể chương trình MTQG)</t>
    </r>
  </si>
  <si>
    <t>Chi trả nợ lãi do chính quyền địa phương vay (1)</t>
  </si>
  <si>
    <t>Chi bổ sung quỹ dự trữ tài chính (1)</t>
  </si>
  <si>
    <t>Chi dự phòng ngân sách</t>
  </si>
  <si>
    <t>Chi chương trình MTQG</t>
  </si>
  <si>
    <t>Chi chuyển nguồn sang ngân sách năm sau</t>
  </si>
  <si>
    <t>Chi đầu tư phát triển</t>
  </si>
  <si>
    <t>CHI TRẢ NỢ LÃI CÁC KHOẢN DO CHÍNH QUYỀN ĐỊA PHƯƠNG VAY (1)</t>
  </si>
  <si>
    <t>CHI BỔ SUNG QUỸ DỰ TRỮ TÀI CHÍNH (1)</t>
  </si>
  <si>
    <t>CHI DỰ PHÒNG NGÂN SÁCH</t>
  </si>
  <si>
    <t>CHI TẠO NGUỒN, ĐIỀU CHỈNH TIỀN LƯƠNG</t>
  </si>
  <si>
    <t>CHI BỔ SUNG CÓ MỤC TIÊU CHO NGÂN SÁCH CẤP DƯỚI (2)</t>
  </si>
  <si>
    <t>VII</t>
  </si>
  <si>
    <t>CHI CHUYỂN NGUỒN SANG NGÂN SÁCH NĂM SAU</t>
  </si>
  <si>
    <t>(1) Theo quy định tại Điều 7, Điều 11 Luật NSNN, ngân sách huyện, xã không có nhiệm vụ chi trả lãi vay, chi bổ sung quỹ dự trữ tài chính.</t>
  </si>
  <si>
    <t>(2) Ngân sách xã không có nhiệm vụ chi bổ sung cân đối cho ngân sách cấp.</t>
  </si>
  <si>
    <t>Trong đó</t>
  </si>
  <si>
    <t>Chi Chương trình mục tiêu</t>
  </si>
  <si>
    <t>Chi dự phòng</t>
  </si>
  <si>
    <t>Chi giao thông</t>
  </si>
  <si>
    <t>Chi nông nghiệp, lâm nghiệp, thủy lợi, thủy sản</t>
  </si>
  <si>
    <t xml:space="preserve">DỰ TOÁN THU, CHI NGÂN SÁCH ĐỊA PHƯƠNG VÀ SỐ BỔ SUNG CÂN ĐỐI TỪ </t>
  </si>
  <si>
    <t>Thu NSĐP được hưởng theo phân cấp</t>
  </si>
  <si>
    <t>Chia ra</t>
  </si>
  <si>
    <t>Số bổ sung cân đối từ ngân sách cấp trên</t>
  </si>
  <si>
    <t>Số bổ sung thực hiện cải cách tiền lương</t>
  </si>
  <si>
    <t>Thu phân chia</t>
  </si>
  <si>
    <t>Trong đó: Phần NSĐP được hưởng</t>
  </si>
  <si>
    <t>2=3+5</t>
  </si>
  <si>
    <t>9=2+6+7+8</t>
  </si>
  <si>
    <t>Tổng chi ngân sách địa phương</t>
  </si>
  <si>
    <t>Tổng chi cân đối ngân sách địa phương</t>
  </si>
  <si>
    <t>Chi chương trình mục tiêu</t>
  </si>
  <si>
    <t>Chi bổ sung quỹ dự trữ tài chính</t>
  </si>
  <si>
    <t>Chi tạo nguồn điều chỉnh tiền lương</t>
  </si>
  <si>
    <t>Bổ sung vốn ĐT để thực hiện các CTMT, nhiệm vụ</t>
  </si>
  <si>
    <t>Bổ sung vốn sự nghiệp thực hiện các chế độ, chính sách</t>
  </si>
  <si>
    <t>Bổ sung thực hiện các CT mục tiêu quốc gia</t>
  </si>
  <si>
    <t>Chi đầu tư từ nguồn vốn trong nước</t>
  </si>
  <si>
    <t>Chi ĐT từ nguồn thu XSKT (nếu có)</t>
  </si>
  <si>
    <t>Chi giáo dục, đào tạo và dạy nghề</t>
  </si>
  <si>
    <t>Chi giáo dục, ĐT và dạy nghề</t>
  </si>
  <si>
    <t>1=2+15 +19</t>
  </si>
  <si>
    <t>2=3+9+ 12+13+14</t>
  </si>
  <si>
    <t>3=6+7+8</t>
  </si>
  <si>
    <t>15=16+ 17+18</t>
  </si>
  <si>
    <t>(1) Chi ngân sách tỉnh chi tiết đến từng huyện; chi ngân sách huyện chi tiết đến từng xã.</t>
  </si>
  <si>
    <t>(2) Theo quy định tại Điều 7, Điều 11 và Điều 39 Luật NSNN, ngân sách huyện, xã không có nhiệm vụ chi nghiên cứu khoa học và công nghệ.</t>
  </si>
  <si>
    <t>Phòng Tư pháp</t>
  </si>
  <si>
    <t>Huyện đoàn</t>
  </si>
  <si>
    <t>Hội nông dân</t>
  </si>
  <si>
    <t>Hội cựu chiến binh</t>
  </si>
  <si>
    <t>Trung tâm dịch vụ nông nghiệp</t>
  </si>
  <si>
    <t>Công an huyện</t>
  </si>
  <si>
    <t xml:space="preserve">   Biểu mẫu số 46</t>
  </si>
  <si>
    <t>Chi mục tiêu thực hiện các mục tiêu, nhiệm vụ</t>
  </si>
  <si>
    <t>Chi từ nguồn bổ sung có mục tiêu để thực hiện các chương trình, dự án nhiệm vụ khác</t>
  </si>
  <si>
    <t>Dự toán năm 2022</t>
  </si>
  <si>
    <t>DỰ TOÁN THU NGÂN SÁCH NHÀ NƯỚC TRÊN ĐỊA BÀN TỪNG XÃ THEO LĨNH VỰC NĂM 2022</t>
  </si>
  <si>
    <t>DỰ TOÁN CHI NGÂN SÁCH CẤP TỈNH (HUYỆN, XÃ) CHO TỪNG CƠ QUAN, TỔ CHỨC THEO LĨNH VỰC NĂM 2022</t>
  </si>
  <si>
    <t>DỰ TOÁN CHI THƯỜNG XUYÊN CỦA NGÂN SÁCH CẤP TỈNH HUYỆN, XÃ CHO TỪNG CƠ QUAN, TỔ CHỨC THEO LĨNH VỰC NĂM 2022</t>
  </si>
  <si>
    <t>NGÂN SÁCH CẤP TRÊN CHO NGÂN SÁCH CẤP DƯỚI NĂM 2022</t>
  </si>
  <si>
    <t>Vốn trong nước</t>
  </si>
  <si>
    <t>Vốn ngoài nước</t>
  </si>
  <si>
    <t>Thuế tiêu thụ đặc biệt</t>
  </si>
  <si>
    <t>Số Quyết định ngày, tháng, năm ban hành</t>
  </si>
  <si>
    <t>Minh Long</t>
  </si>
  <si>
    <t xml:space="preserve"> Minh Long</t>
  </si>
  <si>
    <t xml:space="preserve">Lý Quốc </t>
  </si>
  <si>
    <t xml:space="preserve">Đồng Loan </t>
  </si>
  <si>
    <t xml:space="preserve">Thắng Lợi </t>
  </si>
  <si>
    <t xml:space="preserve">Đức Quang </t>
  </si>
  <si>
    <t xml:space="preserve"> Kim Loan</t>
  </si>
  <si>
    <t xml:space="preserve">Thị trấn Thanh Nhật </t>
  </si>
  <si>
    <t>Quang Long</t>
  </si>
  <si>
    <t>xã Thống Nhất</t>
  </si>
  <si>
    <t>Thị Hoa</t>
  </si>
  <si>
    <t xml:space="preserve">Cô Ngân </t>
  </si>
  <si>
    <t xml:space="preserve">Vinh Quý </t>
  </si>
  <si>
    <t>An Lạc</t>
  </si>
  <si>
    <t>Phòng Y tế</t>
  </si>
  <si>
    <t>Văn phòng UBND</t>
  </si>
  <si>
    <t>Phòng Giáo dục và đào tạo</t>
  </si>
  <si>
    <t>Phòng Tài chính - Kế hoạch</t>
  </si>
  <si>
    <t>Phòng Nội vụ</t>
  </si>
  <si>
    <t>Phòng Nông nghiệp &amp; PTNT</t>
  </si>
  <si>
    <t>Phòng VH &amp; TT</t>
  </si>
  <si>
    <t>Phòng LĐTBXH</t>
  </si>
  <si>
    <t>Phòng Kinh tế và Hạ tầng</t>
  </si>
  <si>
    <t xml:space="preserve">Thanh tra </t>
  </si>
  <si>
    <t>Trung tâm văn hóa và truyền thông</t>
  </si>
  <si>
    <t>Trung tâm GDNN_ GDTX</t>
  </si>
  <si>
    <t>VP. Huyện uỷ</t>
  </si>
  <si>
    <t>UBMTTQ huyện</t>
  </si>
  <si>
    <t>Hội liên hiệp phụ nữ</t>
  </si>
  <si>
    <t xml:space="preserve">Hội chữ thập đỏ </t>
  </si>
  <si>
    <t>Hội Khuyến học</t>
  </si>
  <si>
    <t>Hội Luật Gia</t>
  </si>
  <si>
    <t>Ban CHQS huyện</t>
  </si>
  <si>
    <t>Bảo hiểm xã hội (Hỗ trợ mua thẻ BHYT, BHXH tự nguyện)</t>
  </si>
  <si>
    <t>Phòng dân tộc</t>
  </si>
  <si>
    <t>Phòng Tài nguyên và Môi trường</t>
  </si>
  <si>
    <t>Trung tâm chính trị</t>
  </si>
  <si>
    <r>
      <t xml:space="preserve">Chi đầu tư phát triển </t>
    </r>
    <r>
      <rPr>
        <sz val="12"/>
        <color indexed="8"/>
        <rFont val="Times New Roman"/>
        <family val="1"/>
      </rPr>
      <t>(Không kể chương trình MTQG)</t>
    </r>
  </si>
  <si>
    <r>
      <t xml:space="preserve">Chi thường xuyên </t>
    </r>
    <r>
      <rPr>
        <sz val="12"/>
        <color indexed="8"/>
        <rFont val="Times New Roman"/>
        <family val="1"/>
      </rPr>
      <t>(Không kể chương trình MTQG)</t>
    </r>
  </si>
  <si>
    <t>CÁC CƠ QUAN, TỔ CHỨC</t>
  </si>
  <si>
    <t>Kim Loan</t>
  </si>
  <si>
    <t xml:space="preserve"> </t>
  </si>
  <si>
    <t>Thống Nhất</t>
  </si>
  <si>
    <t xml:space="preserve"> -</t>
  </si>
  <si>
    <t>Phát thanh truyền hình</t>
  </si>
  <si>
    <t>Xã Thống Nhất</t>
  </si>
  <si>
    <t>Chi hoạt động và các mục tiêu nhiệm vụ khác</t>
  </si>
  <si>
    <t>Đơn vị:Nghìn đồng</t>
  </si>
  <si>
    <t>NGUỒN VỐN CÂN ĐỐI NSĐP</t>
  </si>
  <si>
    <t xml:space="preserve"> Tỉnh bố trí</t>
  </si>
  <si>
    <t>Xây mới trụ sở UBND xã Thống Nhất, huyện Hạ Lang, tỉnh Cao Bằng</t>
  </si>
  <si>
    <t>Huyện bố trí</t>
  </si>
  <si>
    <t>*</t>
  </si>
  <si>
    <t>Chi tiết theo sắc thuế</t>
  </si>
  <si>
    <t>TỶ LỆ PHẦN TRĂM (%) PHÂN CHIA CÁC KHOẢN THU GIỮA NGÂN  SÁCH TỪNG XÃ, THỊ TRẤN NĂM 2022</t>
  </si>
  <si>
    <t>Thuế sử dụng đất phi nông nghiệp</t>
  </si>
  <si>
    <t>Các khoản thu phí, lệ phí (từ lệ phí môn bài và nhà đất)</t>
  </si>
  <si>
    <t>Thu phạt, tịch thu xử lý vi phạm hành chính và thu khác trong các lĩnh vực</t>
  </si>
  <si>
    <t>Thu từ bán tài sản nhà nước, thu từ tài sản được xác lập quyền sở hữu nhà nước, quỹ đất công ích, hoa lợi công sản khác</t>
  </si>
  <si>
    <t>Thuế TTĐB, hàng hóa, dịch vụ trong nước (Trừ doanh nghiệp TW và địa phương nộp)</t>
  </si>
  <si>
    <t>Lệ phí môn bài các DN, tổ chức kinh tế (Trừ doanh nghiệp TW và địa phương nộp)</t>
  </si>
  <si>
    <t>Mẫu số 40 - xã</t>
  </si>
  <si>
    <t>Thuế tài nguyên (Trừ doanh nghiệp TW và địa phương nộp)</t>
  </si>
  <si>
    <t>Thuế GTGT và thuế TNDN lĩnh vực ngoài quốc doanh</t>
  </si>
  <si>
    <t>Thu viện trợ không hoàn lại và thu huy động đóng góp từ các tổ chức, cá nhân theo pháp luật</t>
  </si>
  <si>
    <t>Ước thực hiện năm 2022</t>
  </si>
  <si>
    <t>Dự toán năm 2023</t>
  </si>
  <si>
    <t>DỰ TOÁN THU NGÂN SÁCH NHÀ NƯỚC THEO LĨNH VỰC NĂM 2023</t>
  </si>
  <si>
    <t>CÂN ĐỐI NGÂN SÁCH ĐỊA PHƯƠNG NĂM 2023</t>
  </si>
  <si>
    <t>DỰ TOÁN CHI NGÂN SÁCH ĐỊA PHƯƠNG THEO CƠ CẤU CHI NĂM 2023</t>
  </si>
  <si>
    <t>CTMTQG phát triển KT-XH vùng đồng bào DTTS và MN</t>
  </si>
  <si>
    <t>CÂN ĐỐI NGUỒN THU, CHI DỰ TOÁN NGÂN SÁCH CẤP HUYỆN VÀ NGÂN SÁCH XÃ NĂM 2023</t>
  </si>
  <si>
    <t>DỰ TOÁN THU NGÂN SÁCH NHÀ NƯỚC TRÊN ĐỊA BÀN TỪNG XÃ NĂM 2023</t>
  </si>
  <si>
    <t>DỰ TOÁN CHI NGÂN SÁCH ĐỊA PHƯƠNG, CHI NGÂN SÁCH CẤP HUYỆN VÀ CHI NGÂN SÁCH XÃ THEO CƠ CẤU CHI NĂM 2023</t>
  </si>
  <si>
    <t>Ngân sách cấp huyện</t>
  </si>
  <si>
    <t>Ngân sách xã</t>
  </si>
  <si>
    <t>DỰ TOÁN CHI NGÂN SÁCH CẤP HUYỆN THEO LĨNH VỰC NĂM 2023</t>
  </si>
  <si>
    <t>CHI NGÂN SÁCH CẤP HUYỆN THEO LĨNH VỰC</t>
  </si>
  <si>
    <t>Chi thường xuyên khác (bao gốm vốn sự nghiệp CTMTQG)</t>
  </si>
  <si>
    <t>DỰ TOÁN CHI NGÂN SÁCH ĐỊA PHƯƠNG TỪNG XÃ NĂM 2023</t>
  </si>
  <si>
    <t>DANH MỤC CÁC CHƯƠNG TRÌNH, DỰ ÁN SỬ DỤNG VỐN NGÂN SÁCH NHÀ NƯỚC NĂM 2023</t>
  </si>
  <si>
    <t>Lũy kế vốn đã bố trí đến 31/12/2022</t>
  </si>
  <si>
    <t>Giá trị khối lượng lũy kế từ khởi công đến 31/12/2022</t>
  </si>
  <si>
    <t>Đơn vị:Triệu đồng</t>
  </si>
  <si>
    <t>Trường PTDT nội trú</t>
  </si>
  <si>
    <t>Biểu mẫu số 36</t>
  </si>
  <si>
    <t>Biểu mẫu số 38</t>
  </si>
  <si>
    <t>Đầu tư phát triển</t>
  </si>
  <si>
    <t>Kinh phí sự nghiệp</t>
  </si>
  <si>
    <t>1= +3</t>
  </si>
  <si>
    <t>2=5+12</t>
  </si>
  <si>
    <t>3=8+15</t>
  </si>
  <si>
    <t>4=5+8</t>
  </si>
  <si>
    <t>5=6+7</t>
  </si>
  <si>
    <t>8=9+10</t>
  </si>
  <si>
    <t>11=12+15</t>
  </si>
  <si>
    <t>12=13+14</t>
  </si>
  <si>
    <t>15=16+17</t>
  </si>
  <si>
    <t>Kế hoạch vốn năm 2023</t>
  </si>
  <si>
    <t>Ban QLDAĐT và xây dựng</t>
  </si>
  <si>
    <t xml:space="preserve">Chi đầu tư phát triển khác </t>
  </si>
  <si>
    <t>Hỗ trợ vốn vay NSĐP ủy thác sang ngân hàng CSXH huyện để cho vay đối với người nghèo và các đối tượng chính sách</t>
  </si>
  <si>
    <t>Đầu tư khác</t>
  </si>
  <si>
    <t>DỰ TOÁN CHI ĐẦU TƯ PHÁT TRIỂN CỦA NGÂN SÁCH CẤP HUYỆN CHO TỪNG CƠ QUAN, TỔ CHỨC THEO LĨNH VỰC NĂM 2023</t>
  </si>
  <si>
    <t>DỰ TOÁN CHI CHƯƠNG TRÌNH MỤC TIÊU QUỐC GIA NGÂN SÁCH CẤP HUYỆN NĂM 2023</t>
  </si>
  <si>
    <t>Chương trình mục tiêu quốc gia phát triển KT-XH vùng ĐBDTTS và miền núi</t>
  </si>
  <si>
    <t>Chương trình mục tiêu quốc gia giảm nghèo bền vững</t>
  </si>
  <si>
    <t>Chương trình mục tiêu quốc gia Nông thôn mới</t>
  </si>
  <si>
    <t>Ban QLDA đầu tư và xây dựng huyện</t>
  </si>
  <si>
    <r>
      <t xml:space="preserve">Ghi chú: </t>
    </r>
    <r>
      <rPr>
        <i/>
        <sz val="12"/>
        <color indexed="8"/>
        <rFont val="Times New Roman"/>
        <family val="1"/>
      </rPr>
      <t>(1) Chi Chương trình mục tiêu quốc gia ngân sách tỉnh chi tiết đến từng cơ quan, tổ chức và từng huyện. Chi Chương trình mục tiêu quốc gia ngân sách huyện chi tiết đến từng xã. Chi Chương trình mục tiêu quốc gia ngân sách xã chi tiết đến từng cơ quan, tổ chức.</t>
    </r>
  </si>
  <si>
    <t>Các dự án chuyển tiếp hoàn thành năm 2023</t>
  </si>
  <si>
    <t>Xây dựng các hạng mục phụ trợ di tích Đền thờ Tô Thị Hoạn, huyện Hạ Lang, tỉnh Cao Bằng</t>
  </si>
  <si>
    <t>Tu bổ, tôn tạo di tích Chùa Sùng Phúc, huyện Hạ Lang, tỉnh Cao Bằng</t>
  </si>
  <si>
    <t>Dự án khởi công mới năm 2023</t>
  </si>
  <si>
    <t>Nhà bia ghi tên liệt sỹ xã Kim Loan huyện Hạ Lang, tỉnh Cao Bằng</t>
  </si>
  <si>
    <t>Nhà bia ghi tên liệt sỹ xã Đức Quang huyện Hạ Lang, tỉnh Cao Bằng</t>
  </si>
  <si>
    <t>Cải tạo nâng cấp nhà văn hóa xóm Nà Ến - Thị trấn Thanh Nhật, huyện Hạ Lang, tỉnh Cao Bằng</t>
  </si>
  <si>
    <t>Chuẩn bị đầu tư 2023</t>
  </si>
  <si>
    <t>Xây dựng chợ thị trấn Thanh Nhật, huyện Hạ Lang, tỉnh Cao Bằng</t>
  </si>
  <si>
    <t>Đối ứng NSĐP</t>
  </si>
  <si>
    <t>Chương trình MTQG Giảm nghèo bền vững</t>
  </si>
  <si>
    <t>a</t>
  </si>
  <si>
    <t>Dự án chuyển tiếp hoàn thành trong năm 2023</t>
  </si>
  <si>
    <t>Đường giao thông liên xã Quang Long - xã Thống Nhất, huyện Hạ Lang</t>
  </si>
  <si>
    <t>Đường giao thông liên xã (Lũng Hoèn, xã Đồng Loan - Nà Vị, xã Minh Long), huyện Hạ Lang</t>
  </si>
  <si>
    <t>Đường giao thông liên xã (Tha Hoài, xã An Lạc - Lũng Phải, xã Vinh Quý), huyện Hạ Lang</t>
  </si>
  <si>
    <t>Đường giao thông liên xã An Lạc - Đoài Côn (đoạn Nam Lý, xã An Lạc đến Bản Lung, xã Đoài Côn)</t>
  </si>
  <si>
    <t>Đường giao thông liên xã (Bản Nha xã Cô Ngân - Bản Sao, Xã Vinh Quý) huyện Hạ Lang</t>
  </si>
  <si>
    <t>Đường giao thông liên xã (Bản Nha, xã Đồng Loan - Rặc Giang, xã Thắng Lợi) huyện Hạ Lang</t>
  </si>
  <si>
    <t>Đường giao thông liên xã (Đoàn Kết, xã Thống Nhất - Bản Nhảng, xã Thị Hoa) huyện Hạ Lang</t>
  </si>
  <si>
    <t>Đường giao thông liên xã (Bản Bắng, xã Thắng Lợi - Bản Sùng, xã Đức Quang) huyện Hạ Lang</t>
  </si>
  <si>
    <t>Đường giao thông liên xã (Làn Lừa, xã Vinh Quý- Bản Nha, xã Cô Ngân) huyện Hạ Lang</t>
  </si>
  <si>
    <t>Đường giao thông liên xã (Khọn Quang, xã An Lạc - Khum Đin, xã Vinh Quý ) huyện Hạ Lang</t>
  </si>
  <si>
    <t>Đường giao thông liên xã (Sộc Phường, xã An Lạc - Khum Đin, xã Vinh Quý, huyện Hạ Lang</t>
  </si>
  <si>
    <t>Đường giao thông liên xã (Bản Sáng, xã Đồng Loan - Co Lỳ, xã Thắng Lợi), huyện Hạ Lang</t>
  </si>
  <si>
    <t>Trường mầm non xã An Lạc, huyện Hạ Lang</t>
  </si>
  <si>
    <t>Chương trình mục tiêu quốc gia phát triển KT-XH vùng ĐBDTTS và MN</t>
  </si>
  <si>
    <t>Đường giao thông liên xã  An Lạc - xã Kim Loan, huyện Hạ Lang, tỉnh Cao Bằng</t>
  </si>
  <si>
    <t>1.2</t>
  </si>
  <si>
    <t>Đường giao thông liên xã Cô Ngân - xã Thị Hoa, huyện Hạ Lang, tỉnh Cao Bằng</t>
  </si>
  <si>
    <t>Chuẩn bị đầu tư năm 2023</t>
  </si>
  <si>
    <t>Đường giao thông liên xã Thống Nhất - xã Thị Hoa, huyện Hạ Lang, tỉnh Cao Bằng</t>
  </si>
  <si>
    <t>Trạm Y tế xã Đồng Loan, huyện Hạ Lang, tỉnh Cao Bằng</t>
  </si>
  <si>
    <t>Nguồn thu tư sử dụng đất</t>
  </si>
  <si>
    <t>Chương trình mục tiêu Quốc gia phát triển kinh tế - xã hội vùng đồng bào dân tộc thiểu số</t>
  </si>
  <si>
    <t>I.1</t>
  </si>
  <si>
    <t>Nguồn vốn đầu tư</t>
  </si>
  <si>
    <t>Dự án 1: Giải quyết tình trạng thiếu đất ở, nhà ở, đất sản xuất, nước sinh hoạt</t>
  </si>
  <si>
    <t>Công trình chuyển tiếp hoàn thành trong năm 2023</t>
  </si>
  <si>
    <t>Công trình cấp nước sinh hoạt tập trung xóm Bang Dưới, xã Lý Quốc, huyện Hạ Lang, tỉnh Cao Bằng</t>
  </si>
  <si>
    <t>Công trình cấp nước sinh hoạt tập trung xóm Đoàn Kết, xã Đức Quang, huyện Hạ Lang, tỉnh Cao Bằng</t>
  </si>
  <si>
    <t>b</t>
  </si>
  <si>
    <t>Công trình khởi công mới năm 2023</t>
  </si>
  <si>
    <t>Công trình cấp nước sinh hoạt xóm Tha Hoài, Cốc Cam, xã An Lạc, huyện Hạ Lang, tỉnh Cao Bằng</t>
  </si>
  <si>
    <t>Công trình cấp nước sinh hoạt tập trung Rung Ry, Khum Đin, xã Vinh Quý, huyện Hạ Lang, tỉnh Cao Bằng</t>
  </si>
  <si>
    <t>Dự án 4: Đầu tư cơ sở hạ tầng thiết yếu, phục vụ sản xuất, đời sống trong vùng đồng bào dân tộc thiểu số và miền núi và các đơn vị sự nghiệp công lập của lĩnh vực dân tộc</t>
  </si>
  <si>
    <t>Cứng hoá đường từ huyện đến trung tâm xã, đường liên xã chưa được cứng hoá</t>
  </si>
  <si>
    <t xml:space="preserve">Chuẩn bị đầu tư 2023 </t>
  </si>
  <si>
    <t>1.3</t>
  </si>
  <si>
    <t>Cải tạo sửa chữa trạm y tế xã</t>
  </si>
  <si>
    <t xml:space="preserve">Khởi công mới 2022 </t>
  </si>
  <si>
    <t>3.1</t>
  </si>
  <si>
    <t>Cải tạo, sửa chữa trạm Y tế xã Thống Nhất, huyện Hạ Lang, tỉnh Cao Bằng</t>
  </si>
  <si>
    <t>3.2</t>
  </si>
  <si>
    <t>Cải tạo, sửa chữa trạm Y tế xã An Lạc, huyện Hạ Lang, tỉnh Cao Bằng</t>
  </si>
  <si>
    <t>3.3</t>
  </si>
  <si>
    <t>Cải tạo, sửa chữa trạm Y tế  thị trấn Thanh Nhật, huyện Hạ Lang, tỉnh Cao Bằng</t>
  </si>
  <si>
    <t>Xây mới trạm y tế xã</t>
  </si>
  <si>
    <t>Các dự án khởi công mới năm 2022</t>
  </si>
  <si>
    <t>Trạm y tế xã Đức Quang, huyện Hạ Lang,  tỉnh Cao Bằng</t>
  </si>
  <si>
    <t>Các dự án khởi công mới năm 2023</t>
  </si>
  <si>
    <t>Đầu  tư xây dựng, cải tạo nâng cấp mạng lưới chợ vùng đồng bào DTTS và MN</t>
  </si>
  <si>
    <t>Khới công mới 2022</t>
  </si>
  <si>
    <t>Cải tạo, sửa chữa chợ Bằng Ca, xã Lý Quốc,  huyện Hạ Lang, tỉnh Cao Bằng</t>
  </si>
  <si>
    <t>Phân bổ theo địa bàn hành chính</t>
  </si>
  <si>
    <t>Xã Minh Long</t>
  </si>
  <si>
    <t>Đường giao thông xóm Luộc Khiếu, xã Minh Long, huyện Hạ Lang, tỉnh Cao Bằng</t>
  </si>
  <si>
    <t>Mương thủy lợi Thông Thăng, xóm Nà Vị, xã Minh Long, huyện Hạ Lang, tỉnh Cao Bằng</t>
  </si>
  <si>
    <t>Xã Lý Quốc</t>
  </si>
  <si>
    <t>Đường giao thông Bản Sao - Lũng Đa, xã Minh Long, huyện Hạ Lang, tỉnh Cao Bằng</t>
  </si>
  <si>
    <t>Đường giao thông Ngườm Pét- Thang Đóng, Hợp Nhất, xã Lý Quốc, huyện Hạ Lang, tỉnh Cao Bằng</t>
  </si>
  <si>
    <t>c</t>
  </si>
  <si>
    <t>Dự án chuẩn bị đầu tư</t>
  </si>
  <si>
    <t>Mương thủy lợi Nà Thương, Nà Phài Róc Co Đa, xã Lý Quốc, Huyện Hạ Lang</t>
  </si>
  <si>
    <t>Xã Đồng Loan</t>
  </si>
  <si>
    <t>Đường giao thông  Khưa Đắng, xóm Đồng Thuận, xã Đồng Loan, huyện Hạ Lang, tỉnh Cao Bằng</t>
  </si>
  <si>
    <t>Đường giao thông Pác Ngườm, Bản Thuộc, xã Đồng Loan,  huyện Hạ Lang, tỉnh Cao Bằng</t>
  </si>
  <si>
    <t>Dự án cơ chế đặc thù</t>
  </si>
  <si>
    <t>Đường giao thông Lũng Nặm - Lũng nàng, xã Đồng Loan, huyện Hạ Lang, tỉnh Cao Bằng</t>
  </si>
  <si>
    <t>Xã Thắng lợi</t>
  </si>
  <si>
    <t>Đường giao thông xóm Nà Ngần, xã Thắng Lợi, huyện Hạ Lang, tỉnh Cao Bằng</t>
  </si>
  <si>
    <t>Đường giao thông Bản Phạn, xã Thắng Lợi huyện Hạ Lang, tỉnh Cao Bằng</t>
  </si>
  <si>
    <t>5</t>
  </si>
  <si>
    <t>Xã Đức Quang</t>
  </si>
  <si>
    <t>Đường giao thông xóm Bản Sùng, xã Đức Quang, huyện Hạ Lang, tỉnh Cao Bằng</t>
  </si>
  <si>
    <t>Đường giao thông Thôm Thúa - Khau Cuôi xóm Đoàn Kết, xã Đức Quang,  huyện Hạ Lang, tỉnh Cao Bằng</t>
  </si>
  <si>
    <t>6</t>
  </si>
  <si>
    <t>Xã Kim Loan</t>
  </si>
  <si>
    <t>Đường giao thông Nặm Lìn, xã Kim Loan, huyện Hạ Lang, tỉnh Cao Bằng</t>
  </si>
  <si>
    <t>Đường giao thông Lung Lạ - Lung Mò, bản Đông, xã Kim Loan,  huyện Hạ Lang, tỉnh Cao Bằng</t>
  </si>
  <si>
    <t>Nước sinh hoạt tập trung xóm Bản Tao, Xóm bản Đông Xã Kim Loan</t>
  </si>
  <si>
    <t>Xã An Lạc</t>
  </si>
  <si>
    <t>Đường giao thông Bản Chao  - Nà Pổng, xã An Lạc,  huyện Hạ Lang, tỉnh Cao Bằng</t>
  </si>
  <si>
    <t>Mương thủy lợi Pác Thạng xóm Sộc Sơn Đinh, xã An Lạc, huyện Hạ Lang, tỉnh Cao Bằng</t>
  </si>
  <si>
    <t>Đường nội đồng xóm Sộc Áng- Đoỏng Khoang, xã An Lạc, huyện Hạ Lang, tỉnh Cao Bằng</t>
  </si>
  <si>
    <t>8</t>
  </si>
  <si>
    <t>Xã Quang Long</t>
  </si>
  <si>
    <t>Đường giao thông  xóm Xa Lê – Khau Khà, xã Quang Long, huyện Hạ Lang, tỉnh Cao Bằng</t>
  </si>
  <si>
    <t>Mương thủy lợi Bó Mực, xã Quang Long,  huyện Hạ Lang, tỉnh Cao Bằng</t>
  </si>
  <si>
    <t>Đường giao thông Ngam Ba - Kéo Khuổi, Khẻo mèo, Xã Quang Long,  huyện Hạ Lang, tỉnh Cao Bằng</t>
  </si>
  <si>
    <t>9</t>
  </si>
  <si>
    <t>Đường giao thông Pò Nà, xóm  Bản Khau, xã Thống Nhất,  huyện Hạ Lang, tỉnh Cao Bằng</t>
  </si>
  <si>
    <t>Đường giao thông Bó Mực - Nà Đắng, Xóm Nà Vị xã Thống Nhất  huyện Hạ Lang, tỉnh Cao Bằng</t>
  </si>
  <si>
    <t>10</t>
  </si>
  <si>
    <t>Xã Cô Ngân</t>
  </si>
  <si>
    <t xml:space="preserve">Đường giao thông Bản Luông, xã Cô Ngân, huyện Hạ Lang, tỉnh Cao Bằng </t>
  </si>
  <si>
    <t>Đường giao thông Bản Làng - Bản Khúa, Xã Cô Ngân huyện Hạ Lang, tỉnh Cao Bằng</t>
  </si>
  <si>
    <t>11</t>
  </si>
  <si>
    <t>Xã Vinh Quý</t>
  </si>
  <si>
    <t>Mương thủy lợi Bản Thần, xã Vinh Quý, huyện Hạ Lang, tỉnh Cao Bằng</t>
  </si>
  <si>
    <t>Đường giao thông Nhi Liêu - Bản Mỉn, xã Vinh Quý  huyện Hạ Lang, tỉnh Cao Bằng</t>
  </si>
  <si>
    <t>12</t>
  </si>
  <si>
    <t>Thị trấn Thanh Nhật</t>
  </si>
  <si>
    <t>Cấp điện sinh hoạt Bó Pẩu, thị trấn Thanh Nhật, huyện Hạ Lang, tỉnh Cao Bằng</t>
  </si>
  <si>
    <t>2</t>
  </si>
  <si>
    <t>Cấp điện sinh hoạt xóm Lũng Đốn , thị trấn Thanh Nhật, huyện Hạ Lang, tỉnh Cao Bằng</t>
  </si>
  <si>
    <t>Dự án Đường giao thông Sa Ru - Huyền Du, thị trấn Thanh Nhật, huyện Hạ Lang, Tỉnh Cao Bằng</t>
  </si>
  <si>
    <t>13</t>
  </si>
  <si>
    <t>Xã Thị Hoa</t>
  </si>
  <si>
    <t>Đường giao thông  xóm Bản Khu, xã Thị Hoa, huyện Hạ Lang, tỉnh Cao Bằng</t>
  </si>
  <si>
    <t>Đường giao thông xóm Bản Nhảng, Xã Thị Hoa, huyện Hạ Lang, tỉnh Cao Bằng</t>
  </si>
  <si>
    <t>Dự án 5: phát triển giáo dục đào tạo nâng cao chất lượng nguồn nhân lực</t>
  </si>
  <si>
    <t>Tiểu Dự án 1: Đổi mới hoạt động, củng cố phát triển các trường phổ thông DTNT, trưởng PTDTBT, trưởng PT có học sinh bán trú và xoá mù chữ cho người dân vùng đồng bào DTTS</t>
  </si>
  <si>
    <t>Trường tiểu học Lý Quốc, huyện Hạ Lang, tỉnh Cao Bằng</t>
  </si>
  <si>
    <t>Dự án 6: Bảo tồn, phát huy giá trị văn hóa truyền thống tốt đẹp của các DTTS</t>
  </si>
  <si>
    <t>Dự án khởi công mới năm 2022</t>
  </si>
  <si>
    <t>Đầu tư cơ sở vật chất thiết chế văn hóa</t>
  </si>
  <si>
    <t>Đầu tư nhà văn hóa xóm</t>
  </si>
  <si>
    <t>Nhà văn hóa Xóm Bản Thưn, xã Cô Ngân, huyện Hạ Lang, tỉnh Cao Bằng</t>
  </si>
  <si>
    <t xml:space="preserve">Nhà văn hóa Xóm Bản Rạc -Nà Thúng, xã Cô Ngân, huyện Hạ Lang, tỉnh Cao Bằng                     </t>
  </si>
  <si>
    <t>Nhà văn hóa Xóm Xóm Lý Vạn, xã Lý Quốc, huyện Hạ Lang, tỉnh Cao Bằng</t>
  </si>
  <si>
    <t xml:space="preserve">Nhà văn hóa Xóm Bản Nhôn, xã Cô Ngân, xã Cô Ngân, huyện Hạ Lang, tỉnh Cao Bằng                     </t>
  </si>
  <si>
    <t>Dự án 10: truyền thông, tuyên truyền vận động trong vùng đồng bào DTTS và miền núi</t>
  </si>
  <si>
    <t>Tiểu Dự án 2: ứng dụng CNTT hỗ trợ phát triển KT-XH và bảo đảm ANTT vùng đồng bào DTTS và MN</t>
  </si>
  <si>
    <t>CTMTQG giảm nghèo bền vững</t>
  </si>
  <si>
    <t>Trạm y tế xã Đức Quang, huyện Hạ Lang</t>
  </si>
  <si>
    <t>Đường giao thông liên xã Vinh Quý - xã An Lạc (đoạn Đoỏng Rẳng, xã Vinh Quý - đoạn Nà Ray,  Đoài Côn), huyện Hạ Lang, tỉnh Cao Bằng</t>
  </si>
  <si>
    <t xml:space="preserve">b </t>
  </si>
  <si>
    <t>Chuẩn bị đầu tư</t>
  </si>
  <si>
    <t>Đường giao thông liên xã Thắng Lợi - Boong Trên (Đoạn Hùng Cầu, xã Thắng Lợi đến Boong Trên, xã Chí Viễn)</t>
  </si>
  <si>
    <t>Trạm Y tế xã Vinh Quý, huyện Hạ Lang, tỉnh Cao Bằng</t>
  </si>
  <si>
    <t>Đường giao thông liên xã Đức Quang - Kim Loan - Nà chi ( Xã Cao Thăng) huyện Hạ Lang, tỉnh Cao Bằng</t>
  </si>
  <si>
    <t>Mương thủy lợi xóm Lũng Luông,  Keng Nhan, Bó chỉa, xã Quang Long - Huyền Du, TT Thanh Nhật, huyện Hạ Lang, tỉnh Cao Bằng</t>
  </si>
  <si>
    <t>Trường Tiểu học - THCS Cô Ngân xã Cô Ngân, huyện Hạ Lang, tỉnh Cao Bằng</t>
  </si>
  <si>
    <t>Chương trình mục tiêu Quốc gia xây dựng Nông thôn mới</t>
  </si>
  <si>
    <t>Đường nội đồng Lũng Nàng - Lũng Hóm - Tôm Đeng - Pác Bố xóm Bản Khu, xã Thị Hoa, huyện Hạ Lang, tỉnh Cao Bằng</t>
  </si>
  <si>
    <t>CÁC CHƯƠNG TRÌNH MỤC TIÊU QUỐC GIA</t>
  </si>
  <si>
    <t>Nguồn vốn sự nghiệp</t>
  </si>
  <si>
    <t>DỰ TOÁN CHI THƯỜNG XUYÊN CỦA NGÂN SÁCH CẤP HUYỆN CHO TỪNG CƠ QUAN, TỔ CHỨC THEO LĨNH VỰC NĂM 2023</t>
  </si>
  <si>
    <t>DỰ TOÁN CHI NGÂN SÁCH CẤP HUYỆN CHO TỪNG CƠ QUAN, TỔ CHỨC THEO LĨNH VỰC NĂM 2023</t>
  </si>
  <si>
    <t>Xây dựng khu vực phòng thủ huyện Hạ Lang</t>
  </si>
  <si>
    <t>Chi thường xuyên (vốn sự nghiệp)</t>
  </si>
  <si>
    <t>(Kèm theo Tờ trình số         /TTr-HĐND  ngày        tháng 12 năm 2022 của UBND huyện Hạ Lang)</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</si>
</sst>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_);\(#,##0.000\)"/>
    <numFmt numFmtId="175" formatCode="_(* #,##0_);_(* \(#,##0\);_(* &quot;-&quot;??_);_(@_)"/>
    <numFmt numFmtId="176" formatCode="_-* #,##0\ _₫_-;\-* #,##0\ _₫_-;_-* &quot;-&quot;??\ _₫_-;_-@_-"/>
    <numFmt numFmtId="177" formatCode="_-* #,##0.0\ _₫_-;\-* #,##0.0\ _₫_-;_-* &quot;-&quot;??\ _₫_-;_-@_-"/>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409]dddd\,\ mmmm\ d\,\ yyyy"/>
    <numFmt numFmtId="184" formatCode="[$-409]h:mm:ss\ AM/PM"/>
    <numFmt numFmtId="185" formatCode="_(* #,##0.000_);_(* \(#,##0.000\);_(* &quot;-&quot;??_);_(@_)"/>
    <numFmt numFmtId="186" formatCode="#,##0.0000"/>
    <numFmt numFmtId="187" formatCode="#,##0.00000"/>
    <numFmt numFmtId="188" formatCode="#,##0.000000"/>
    <numFmt numFmtId="189" formatCode="0.0%"/>
    <numFmt numFmtId="190" formatCode="0.000%"/>
  </numFmts>
  <fonts count="99">
    <font>
      <sz val="11"/>
      <color theme="1"/>
      <name val="Arial"/>
      <family val="2"/>
    </font>
    <font>
      <sz val="11"/>
      <color indexed="8"/>
      <name val="Arial"/>
      <family val="2"/>
    </font>
    <font>
      <sz val="11"/>
      <name val="Times New Roman"/>
      <family val="1"/>
    </font>
    <font>
      <b/>
      <sz val="14"/>
      <name val="Times New Roman"/>
      <family val="1"/>
    </font>
    <font>
      <b/>
      <sz val="11"/>
      <name val="Times New Roman"/>
      <family val="1"/>
    </font>
    <font>
      <i/>
      <sz val="11"/>
      <name val="Times New Roman"/>
      <family val="1"/>
    </font>
    <font>
      <sz val="11"/>
      <color indexed="8"/>
      <name val="Times New Roman"/>
      <family val="1"/>
    </font>
    <font>
      <b/>
      <sz val="11"/>
      <color indexed="63"/>
      <name val="Times New Roman"/>
      <family val="1"/>
    </font>
    <font>
      <i/>
      <sz val="11"/>
      <color indexed="63"/>
      <name val="Times New Roman"/>
      <family val="1"/>
    </font>
    <font>
      <sz val="11"/>
      <color indexed="63"/>
      <name val="Times New Roman"/>
      <family val="1"/>
    </font>
    <font>
      <b/>
      <i/>
      <sz val="11"/>
      <name val="Times New Roman"/>
      <family val="1"/>
    </font>
    <font>
      <b/>
      <i/>
      <sz val="11"/>
      <color indexed="63"/>
      <name val="Times New Roman"/>
      <family val="1"/>
    </font>
    <font>
      <b/>
      <sz val="12"/>
      <color indexed="8"/>
      <name val="Times New Roman"/>
      <family val="1"/>
    </font>
    <font>
      <i/>
      <sz val="12"/>
      <color indexed="8"/>
      <name val="Times New Roman"/>
      <family val="1"/>
    </font>
    <font>
      <sz val="12"/>
      <color indexed="8"/>
      <name val="Times New Roman"/>
      <family val="1"/>
    </font>
    <font>
      <b/>
      <i/>
      <sz val="12"/>
      <color indexed="8"/>
      <name val="Times New Roman"/>
      <family val="1"/>
    </font>
    <font>
      <sz val="12"/>
      <name val="Times New Roman"/>
      <family val="1"/>
    </font>
    <font>
      <b/>
      <sz val="11"/>
      <color indexed="8"/>
      <name val="Arial"/>
      <family val="2"/>
    </font>
    <font>
      <b/>
      <sz val="11"/>
      <color indexed="8"/>
      <name val="Times New Roman"/>
      <family val="1"/>
    </font>
    <font>
      <b/>
      <sz val="13"/>
      <name val="Times New Roman"/>
      <family val="1"/>
    </font>
    <font>
      <i/>
      <sz val="13"/>
      <name val="Times New Roman"/>
      <family val="1"/>
    </font>
    <font>
      <sz val="10"/>
      <name val="Arial"/>
      <family val="2"/>
    </font>
    <font>
      <i/>
      <sz val="14"/>
      <name val="Times New Roman"/>
      <family val="1"/>
    </font>
    <font>
      <b/>
      <sz val="12"/>
      <name val="Times New Roman"/>
      <family val="1"/>
    </font>
    <font>
      <sz val="11"/>
      <color indexed="8"/>
      <name val="Calibri"/>
      <family val="2"/>
    </font>
    <font>
      <i/>
      <sz val="11"/>
      <color indexed="8"/>
      <name val="Times New Roman"/>
      <family val="1"/>
    </font>
    <font>
      <b/>
      <sz val="9"/>
      <color indexed="8"/>
      <name val="Times New Roman"/>
      <family val="1"/>
    </font>
    <font>
      <sz val="9"/>
      <color indexed="8"/>
      <name val="Times New Roman"/>
      <family val="1"/>
    </font>
    <font>
      <b/>
      <i/>
      <sz val="11"/>
      <color indexed="8"/>
      <name val="Times New Roman"/>
      <family val="1"/>
    </font>
    <font>
      <b/>
      <sz val="11"/>
      <name val="Arial"/>
      <family val="2"/>
    </font>
    <font>
      <i/>
      <sz val="12"/>
      <name val="Times New Roman"/>
      <family val="1"/>
    </font>
    <font>
      <b/>
      <sz val="14"/>
      <color indexed="8"/>
      <name val="Times New Roman"/>
      <family val="1"/>
    </font>
    <font>
      <b/>
      <sz val="11"/>
      <name val=".VnTime"/>
      <family val="2"/>
    </font>
    <font>
      <sz val="11"/>
      <name val=".VnTime"/>
      <family val="2"/>
    </font>
    <font>
      <b/>
      <i/>
      <sz val="11"/>
      <name val=".VnTime"/>
      <family val="2"/>
    </font>
    <font>
      <sz val="11"/>
      <name val="Arial"/>
      <family val="2"/>
    </font>
    <font>
      <b/>
      <i/>
      <sz val="11"/>
      <name val="Arial"/>
      <family val="2"/>
    </font>
    <font>
      <sz val="13"/>
      <name val="Times New Roman"/>
      <family val="1"/>
    </font>
    <font>
      <b/>
      <i/>
      <sz val="12"/>
      <name val="Times New Roman"/>
      <family val="1"/>
    </font>
    <font>
      <sz val="12"/>
      <name val=".VnTime"/>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1"/>
      <color indexed="10"/>
      <name val="Times New Roman"/>
      <family val="1"/>
    </font>
    <font>
      <sz val="9"/>
      <color indexed="8"/>
      <name val="Arial"/>
      <family val="2"/>
    </font>
    <font>
      <sz val="13"/>
      <color indexed="10"/>
      <name val="Times New Roman"/>
      <family val="1"/>
    </font>
    <font>
      <sz val="14"/>
      <color indexed="8"/>
      <name val="Times New Roman"/>
      <family val="1"/>
    </font>
    <font>
      <sz val="12"/>
      <color indexed="10"/>
      <name val="Times New Roman"/>
      <family val="1"/>
    </font>
    <font>
      <sz val="12"/>
      <color indexed="30"/>
      <name val="Times New Roman"/>
      <family val="1"/>
    </font>
    <font>
      <sz val="11"/>
      <color theme="0"/>
      <name val="Arial"/>
      <family val="2"/>
    </font>
    <font>
      <sz val="11"/>
      <color rgb="FF9C0006"/>
      <name val="Arial"/>
      <family val="2"/>
    </font>
    <font>
      <b/>
      <sz val="11"/>
      <color rgb="FFFA7D00"/>
      <name val="Arial"/>
      <family val="2"/>
    </font>
    <font>
      <sz val="11"/>
      <color theme="1"/>
      <name val="Calibri"/>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name val="Calibri"/>
      <family val="2"/>
    </font>
    <font>
      <b/>
      <sz val="11"/>
      <name val="Calibri"/>
      <family val="2"/>
    </font>
    <font>
      <b/>
      <sz val="12"/>
      <color rgb="FF000000"/>
      <name val="Times New Roman"/>
      <family val="1"/>
    </font>
    <font>
      <i/>
      <sz val="12"/>
      <color rgb="FF000000"/>
      <name val="Times New Roman"/>
      <family val="1"/>
    </font>
    <font>
      <b/>
      <sz val="11"/>
      <color theme="1"/>
      <name val="Calibri"/>
      <family val="2"/>
    </font>
    <font>
      <sz val="12"/>
      <color rgb="FF000000"/>
      <name val="Times New Roman"/>
      <family val="1"/>
    </font>
    <font>
      <sz val="11"/>
      <color theme="1"/>
      <name val="Times New Roman"/>
      <family val="1"/>
    </font>
    <font>
      <b/>
      <sz val="11"/>
      <color rgb="FFFF0000"/>
      <name val="Times New Roman"/>
      <family val="1"/>
    </font>
    <font>
      <sz val="9"/>
      <color theme="1"/>
      <name val="Arial"/>
      <family val="2"/>
    </font>
    <font>
      <sz val="12"/>
      <color theme="1"/>
      <name val="Times New Roman"/>
      <family val="1"/>
    </font>
    <font>
      <b/>
      <sz val="11"/>
      <color theme="1"/>
      <name val="Times New Roman"/>
      <family val="1"/>
    </font>
    <font>
      <sz val="13"/>
      <color rgb="FFFF0000"/>
      <name val="Times New Roman"/>
      <family val="1"/>
    </font>
    <font>
      <b/>
      <sz val="14"/>
      <color theme="1"/>
      <name val="Times New Roman"/>
      <family val="1"/>
    </font>
    <font>
      <sz val="14"/>
      <color theme="1"/>
      <name val="Times New Roman"/>
      <family val="1"/>
    </font>
    <font>
      <b/>
      <sz val="12"/>
      <color theme="1"/>
      <name val="Times New Roman"/>
      <family val="1"/>
    </font>
    <font>
      <sz val="12"/>
      <color rgb="FFFF0000"/>
      <name val="Times New Roman"/>
      <family val="1"/>
    </font>
    <font>
      <b/>
      <i/>
      <sz val="12"/>
      <color theme="1"/>
      <name val="Times New Roman"/>
      <family val="1"/>
    </font>
    <font>
      <sz val="12"/>
      <color rgb="FF0070C0"/>
      <name val="Times New Roman"/>
      <family val="1"/>
    </font>
    <font>
      <b/>
      <i/>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right/>
      <top/>
      <bottom style="thin"/>
    </border>
    <border>
      <left style="thin"/>
      <right style="thin"/>
      <top>
        <color indexed="63"/>
      </top>
      <bottom style="hair"/>
    </border>
    <border>
      <left style="thin"/>
      <right style="thin"/>
      <top style="thin"/>
      <bottom/>
    </border>
    <border>
      <left style="thin"/>
      <right style="thin"/>
      <top/>
      <bottom/>
    </border>
    <border>
      <left style="thin"/>
      <right style="thin"/>
      <top>
        <color indexed="63"/>
      </top>
      <bottom style="thin"/>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1" fontId="24" fillId="0" borderId="0" applyFont="0" applyFill="0" applyBorder="0" applyAlignment="0" applyProtection="0"/>
    <xf numFmtId="171" fontId="16"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1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28" borderId="2"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5" fillId="0" borderId="0">
      <alignment/>
      <protection/>
    </xf>
    <xf numFmtId="0" fontId="21" fillId="0" borderId="0">
      <alignment/>
      <protection/>
    </xf>
    <xf numFmtId="0" fontId="21" fillId="0" borderId="0">
      <alignment/>
      <protection/>
    </xf>
    <xf numFmtId="0" fontId="39" fillId="0" borderId="0">
      <alignment/>
      <protection/>
    </xf>
    <xf numFmtId="0" fontId="21"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9" fontId="65" fillId="0" borderId="0" applyFont="0" applyFill="0" applyBorder="0" applyAlignment="0" applyProtection="0"/>
    <xf numFmtId="9" fontId="24"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16">
    <xf numFmtId="0" fontId="0" fillId="0" borderId="0" xfId="0" applyAlignment="1">
      <alignment/>
    </xf>
    <xf numFmtId="0" fontId="2" fillId="0" borderId="0" xfId="0" applyFont="1" applyAlignment="1">
      <alignment vertical="center"/>
    </xf>
    <xf numFmtId="0" fontId="4" fillId="33" borderId="10" xfId="0" applyFont="1" applyFill="1" applyBorder="1" applyAlignment="1">
      <alignment horizontal="center" vertical="center" wrapText="1"/>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12" fillId="0" borderId="0" xfId="0" applyFont="1" applyAlignment="1">
      <alignment horizontal="right" vertical="center"/>
    </xf>
    <xf numFmtId="0" fontId="13" fillId="0" borderId="0" xfId="0" applyFont="1" applyAlignment="1">
      <alignment horizontal="right" vertical="center"/>
    </xf>
    <xf numFmtId="0" fontId="15" fillId="0" borderId="0" xfId="0" applyFont="1" applyAlignment="1">
      <alignment horizontal="left" vertical="center"/>
    </xf>
    <xf numFmtId="0" fontId="12" fillId="0" borderId="10" xfId="0" applyFont="1" applyBorder="1" applyAlignment="1">
      <alignment horizontal="center" vertical="center" wrapText="1"/>
    </xf>
    <xf numFmtId="0" fontId="0" fillId="0" borderId="0" xfId="0" applyAlignment="1">
      <alignment wrapText="1"/>
    </xf>
    <xf numFmtId="0" fontId="0" fillId="0" borderId="0" xfId="0" applyFont="1" applyAlignment="1">
      <alignment/>
    </xf>
    <xf numFmtId="0" fontId="17" fillId="0" borderId="0" xfId="0" applyFont="1" applyAlignment="1">
      <alignment/>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3" fontId="12" fillId="0" borderId="11" xfId="0" applyNumberFormat="1"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3" fontId="12" fillId="0" borderId="12" xfId="0" applyNumberFormat="1" applyFont="1" applyBorder="1" applyAlignment="1">
      <alignment vertical="center" wrapText="1"/>
    </xf>
    <xf numFmtId="0" fontId="14" fillId="0" borderId="12" xfId="0" applyFont="1" applyBorder="1" applyAlignment="1">
      <alignment horizontal="center" vertical="center" wrapText="1"/>
    </xf>
    <xf numFmtId="0" fontId="14" fillId="0" borderId="12" xfId="0" applyFont="1" applyBorder="1" applyAlignment="1">
      <alignment vertical="center" wrapText="1"/>
    </xf>
    <xf numFmtId="3" fontId="14" fillId="0" borderId="12" xfId="0" applyNumberFormat="1" applyFont="1" applyBorder="1" applyAlignment="1">
      <alignment vertical="center" wrapText="1"/>
    </xf>
    <xf numFmtId="0" fontId="14" fillId="0" borderId="13" xfId="0" applyFont="1" applyBorder="1" applyAlignment="1">
      <alignment horizontal="center" vertical="center" wrapText="1"/>
    </xf>
    <xf numFmtId="0" fontId="14" fillId="0" borderId="13" xfId="0" applyFont="1" applyBorder="1" applyAlignment="1">
      <alignment vertical="center" wrapText="1"/>
    </xf>
    <xf numFmtId="3" fontId="14" fillId="0" borderId="13" xfId="0" applyNumberFormat="1" applyFont="1" applyBorder="1" applyAlignment="1">
      <alignment vertical="center" wrapText="1"/>
    </xf>
    <xf numFmtId="3" fontId="17" fillId="0" borderId="0" xfId="0" applyNumberFormat="1" applyFont="1" applyAlignment="1">
      <alignment/>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vertical="center" wrapText="1"/>
    </xf>
    <xf numFmtId="3" fontId="2" fillId="33" borderId="12" xfId="0" applyNumberFormat="1" applyFont="1" applyFill="1" applyBorder="1" applyAlignment="1">
      <alignment horizontal="right"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vertical="center" wrapText="1"/>
    </xf>
    <xf numFmtId="3" fontId="4" fillId="33" borderId="12" xfId="0" applyNumberFormat="1" applyFont="1" applyFill="1" applyBorder="1" applyAlignment="1">
      <alignment horizontal="right" vertical="center" wrapText="1"/>
    </xf>
    <xf numFmtId="0" fontId="4" fillId="0" borderId="0" xfId="0" applyFont="1" applyAlignment="1">
      <alignment vertical="center"/>
    </xf>
    <xf numFmtId="3" fontId="4" fillId="33" borderId="11" xfId="0" applyNumberFormat="1" applyFont="1" applyFill="1" applyBorder="1" applyAlignment="1">
      <alignment horizontal="right" vertical="center" wrapText="1"/>
    </xf>
    <xf numFmtId="172" fontId="4" fillId="33" borderId="11" xfId="0" applyNumberFormat="1" applyFont="1" applyFill="1" applyBorder="1" applyAlignment="1">
      <alignment horizontal="center" vertical="center" wrapText="1"/>
    </xf>
    <xf numFmtId="172" fontId="4" fillId="33" borderId="12" xfId="0" applyNumberFormat="1" applyFont="1" applyFill="1" applyBorder="1" applyAlignment="1">
      <alignment horizontal="center" vertical="center" wrapText="1"/>
    </xf>
    <xf numFmtId="172" fontId="4" fillId="33" borderId="13" xfId="0" applyNumberFormat="1" applyFont="1" applyFill="1" applyBorder="1" applyAlignment="1">
      <alignment horizontal="center" vertical="center" wrapText="1"/>
    </xf>
    <xf numFmtId="172" fontId="2" fillId="33" borderId="12" xfId="0" applyNumberFormat="1" applyFont="1" applyFill="1" applyBorder="1" applyAlignment="1">
      <alignment horizontal="center" vertical="center" wrapText="1"/>
    </xf>
    <xf numFmtId="0" fontId="5" fillId="33" borderId="12" xfId="0" applyFont="1" applyFill="1" applyBorder="1" applyAlignment="1">
      <alignment vertical="center" wrapText="1"/>
    </xf>
    <xf numFmtId="0" fontId="16" fillId="0" borderId="12" xfId="0" applyFont="1" applyBorder="1" applyAlignment="1">
      <alignment horizontal="justify"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3" fontId="12"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0" fontId="13" fillId="0" borderId="12" xfId="0" applyFont="1" applyBorder="1" applyAlignment="1">
      <alignment vertical="center" wrapText="1"/>
    </xf>
    <xf numFmtId="3" fontId="4" fillId="33" borderId="13" xfId="0" applyNumberFormat="1" applyFont="1" applyFill="1" applyBorder="1" applyAlignment="1">
      <alignment horizontal="right" vertical="center" wrapText="1"/>
    </xf>
    <xf numFmtId="0" fontId="18" fillId="0" borderId="0" xfId="0" applyFont="1" applyAlignment="1">
      <alignment vertical="center"/>
    </xf>
    <xf numFmtId="3" fontId="14" fillId="0" borderId="12"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0" fontId="78" fillId="0" borderId="0" xfId="0" applyFont="1" applyAlignment="1">
      <alignment/>
    </xf>
    <xf numFmtId="3" fontId="12" fillId="0" borderId="12" xfId="0" applyNumberFormat="1" applyFont="1" applyBorder="1" applyAlignment="1">
      <alignment horizontal="right" vertical="center" wrapText="1"/>
    </xf>
    <xf numFmtId="3" fontId="12" fillId="0" borderId="13" xfId="0" applyNumberFormat="1" applyFont="1" applyBorder="1" applyAlignment="1">
      <alignment horizontal="right" vertical="center" wrapText="1"/>
    </xf>
    <xf numFmtId="0" fontId="4" fillId="0" borderId="0" xfId="0" applyFont="1" applyAlignment="1">
      <alignmen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wrapText="1"/>
    </xf>
    <xf numFmtId="3" fontId="4" fillId="33" borderId="0" xfId="0" applyNumberFormat="1" applyFont="1" applyFill="1" applyBorder="1" applyAlignment="1">
      <alignment vertical="center" wrapText="1"/>
    </xf>
    <xf numFmtId="172" fontId="4" fillId="33" borderId="0"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72" fontId="4" fillId="33" borderId="0"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vertical="center" wrapText="1"/>
    </xf>
    <xf numFmtId="3" fontId="9" fillId="33" borderId="0" xfId="0" applyNumberFormat="1" applyFont="1" applyFill="1" applyBorder="1" applyAlignment="1">
      <alignment horizontal="right" vertical="center" wrapText="1"/>
    </xf>
    <xf numFmtId="3" fontId="9" fillId="33" borderId="0" xfId="0" applyNumberFormat="1" applyFont="1" applyFill="1" applyBorder="1" applyAlignment="1">
      <alignment horizontal="center" vertical="center" wrapText="1"/>
    </xf>
    <xf numFmtId="172" fontId="9" fillId="33"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3" fontId="14" fillId="0" borderId="0" xfId="0" applyNumberFormat="1" applyFont="1" applyBorder="1" applyAlignment="1">
      <alignment vertical="center" wrapText="1"/>
    </xf>
    <xf numFmtId="3" fontId="14"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3" fontId="12" fillId="0" borderId="0" xfId="0" applyNumberFormat="1" applyFont="1" applyBorder="1" applyAlignment="1">
      <alignment horizontal="right" vertical="center" wrapText="1"/>
    </xf>
    <xf numFmtId="3" fontId="2" fillId="0" borderId="0" xfId="0" applyNumberFormat="1" applyFont="1" applyAlignment="1">
      <alignment vertical="center"/>
    </xf>
    <xf numFmtId="3" fontId="78" fillId="0" borderId="0" xfId="0" applyNumberFormat="1" applyFont="1" applyAlignment="1">
      <alignment/>
    </xf>
    <xf numFmtId="0" fontId="20" fillId="0" borderId="0" xfId="0" applyFont="1" applyAlignment="1">
      <alignment vertical="center" wrapText="1"/>
    </xf>
    <xf numFmtId="3" fontId="4" fillId="33" borderId="11" xfId="0" applyNumberFormat="1"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3" fontId="2" fillId="33" borderId="13" xfId="0" applyNumberFormat="1" applyFont="1" applyFill="1" applyBorder="1" applyAlignment="1">
      <alignment horizontal="right" vertical="center" wrapText="1"/>
    </xf>
    <xf numFmtId="3" fontId="2" fillId="33" borderId="13" xfId="0" applyNumberFormat="1" applyFont="1" applyFill="1" applyBorder="1" applyAlignment="1">
      <alignment horizontal="center" vertical="center" wrapText="1"/>
    </xf>
    <xf numFmtId="3" fontId="0" fillId="0" borderId="0" xfId="0" applyNumberFormat="1" applyFont="1" applyAlignment="1">
      <alignment/>
    </xf>
    <xf numFmtId="3" fontId="16" fillId="33" borderId="12" xfId="0" applyNumberFormat="1" applyFont="1" applyFill="1" applyBorder="1" applyAlignment="1">
      <alignment vertical="center" wrapText="1"/>
    </xf>
    <xf numFmtId="0" fontId="12" fillId="34" borderId="10" xfId="0" applyFont="1" applyFill="1" applyBorder="1" applyAlignment="1">
      <alignment horizontal="center" vertical="center" wrapText="1"/>
    </xf>
    <xf numFmtId="0" fontId="13" fillId="0" borderId="0" xfId="0" applyFont="1" applyAlignment="1">
      <alignment horizontal="left" vertical="center"/>
    </xf>
    <xf numFmtId="0" fontId="23" fillId="34"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horizontal="center" vertical="center" wrapText="1"/>
    </xf>
    <xf numFmtId="0" fontId="28" fillId="0" borderId="0" xfId="0" applyFont="1" applyAlignment="1">
      <alignment horizontal="left" vertical="center"/>
    </xf>
    <xf numFmtId="0" fontId="25" fillId="0" borderId="0" xfId="0" applyFont="1" applyAlignment="1">
      <alignment horizontal="left" vertical="center"/>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3" fontId="12" fillId="0" borderId="14" xfId="0" applyNumberFormat="1" applyFont="1" applyBorder="1" applyAlignment="1">
      <alignment horizontal="right" vertical="center" wrapText="1"/>
    </xf>
    <xf numFmtId="3" fontId="23" fillId="33" borderId="11" xfId="0" applyNumberFormat="1" applyFont="1" applyFill="1" applyBorder="1" applyAlignment="1">
      <alignment vertical="center" wrapText="1"/>
    </xf>
    <xf numFmtId="3" fontId="23" fillId="33" borderId="12" xfId="0" applyNumberFormat="1" applyFont="1" applyFill="1" applyBorder="1" applyAlignment="1">
      <alignment vertical="center" wrapText="1"/>
    </xf>
    <xf numFmtId="172"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vertical="center" wrapText="1"/>
    </xf>
    <xf numFmtId="172" fontId="23" fillId="33" borderId="13" xfId="0" applyNumberFormat="1" applyFont="1" applyFill="1" applyBorder="1" applyAlignment="1">
      <alignment horizontal="center" vertical="center" wrapText="1"/>
    </xf>
    <xf numFmtId="0" fontId="16" fillId="0" borderId="0" xfId="0" applyFont="1" applyAlignment="1">
      <alignment vertical="center"/>
    </xf>
    <xf numFmtId="0" fontId="23" fillId="33" borderId="11" xfId="0" applyFont="1" applyFill="1" applyBorder="1" applyAlignment="1">
      <alignment horizontal="center" vertical="center" wrapText="1"/>
    </xf>
    <xf numFmtId="0" fontId="23" fillId="33" borderId="11" xfId="0" applyFont="1" applyFill="1" applyBorder="1" applyAlignment="1">
      <alignment vertical="center" wrapText="1"/>
    </xf>
    <xf numFmtId="0" fontId="23" fillId="33" borderId="12" xfId="0" applyFont="1" applyFill="1" applyBorder="1" applyAlignment="1">
      <alignment horizontal="center" vertical="center" wrapText="1"/>
    </xf>
    <xf numFmtId="0" fontId="23" fillId="33" borderId="12" xfId="0" applyFont="1" applyFill="1" applyBorder="1" applyAlignment="1">
      <alignment vertical="center" wrapText="1"/>
    </xf>
    <xf numFmtId="0" fontId="16" fillId="33" borderId="12" xfId="0" applyFont="1" applyFill="1" applyBorder="1" applyAlignment="1">
      <alignment horizontal="center" vertical="center" wrapText="1"/>
    </xf>
    <xf numFmtId="0" fontId="16" fillId="33" borderId="12" xfId="0" applyFont="1" applyFill="1" applyBorder="1" applyAlignment="1">
      <alignment vertical="center" wrapText="1"/>
    </xf>
    <xf numFmtId="0" fontId="23" fillId="33" borderId="13" xfId="0" applyFont="1" applyFill="1" applyBorder="1" applyAlignment="1">
      <alignment horizontal="center" vertical="center" wrapText="1"/>
    </xf>
    <xf numFmtId="0" fontId="23" fillId="33" borderId="13" xfId="0" applyFont="1" applyFill="1" applyBorder="1" applyAlignment="1">
      <alignment vertical="center" wrapText="1"/>
    </xf>
    <xf numFmtId="0" fontId="13" fillId="0" borderId="15" xfId="0" applyFont="1" applyBorder="1" applyAlignment="1">
      <alignment vertical="center"/>
    </xf>
    <xf numFmtId="0" fontId="18" fillId="0" borderId="0" xfId="0" applyFont="1" applyAlignment="1">
      <alignment horizontal="right" vertical="center"/>
    </xf>
    <xf numFmtId="0" fontId="18" fillId="0" borderId="10" xfId="0" applyFont="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vertical="center"/>
    </xf>
    <xf numFmtId="173" fontId="16" fillId="0" borderId="0" xfId="0" applyNumberFormat="1" applyFont="1" applyFill="1" applyAlignment="1">
      <alignment vertical="center"/>
    </xf>
    <xf numFmtId="0" fontId="29" fillId="33" borderId="0" xfId="0" applyFont="1" applyFill="1" applyAlignment="1">
      <alignment/>
    </xf>
    <xf numFmtId="3" fontId="6" fillId="0" borderId="12" xfId="0" applyNumberFormat="1" applyFont="1" applyBorder="1" applyAlignment="1">
      <alignment vertical="center" wrapText="1"/>
    </xf>
    <xf numFmtId="3" fontId="6" fillId="0" borderId="13" xfId="0" applyNumberFormat="1" applyFont="1" applyBorder="1" applyAlignment="1">
      <alignment vertical="center" wrapText="1"/>
    </xf>
    <xf numFmtId="0" fontId="14" fillId="0" borderId="11" xfId="0" applyFont="1" applyBorder="1" applyAlignment="1">
      <alignment horizontal="center" vertical="center" wrapText="1"/>
    </xf>
    <xf numFmtId="0" fontId="16" fillId="33" borderId="12" xfId="0" applyNumberFormat="1" applyFont="1" applyFill="1" applyBorder="1" applyAlignment="1">
      <alignment horizontal="left"/>
    </xf>
    <xf numFmtId="0" fontId="16" fillId="33" borderId="13" xfId="0" applyNumberFormat="1" applyFont="1" applyFill="1" applyBorder="1" applyAlignment="1">
      <alignment horizontal="left"/>
    </xf>
    <xf numFmtId="3" fontId="14" fillId="0" borderId="13" xfId="0" applyNumberFormat="1" applyFont="1" applyBorder="1" applyAlignment="1">
      <alignment horizontal="right" vertical="center" wrapText="1"/>
    </xf>
    <xf numFmtId="0" fontId="18"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wrapText="1"/>
    </xf>
    <xf numFmtId="0" fontId="6" fillId="0" borderId="13" xfId="0" applyFont="1" applyBorder="1" applyAlignment="1">
      <alignment horizontal="center" vertical="center" wrapText="1"/>
    </xf>
    <xf numFmtId="0" fontId="2" fillId="0" borderId="13" xfId="0" applyFont="1" applyBorder="1" applyAlignment="1">
      <alignment horizontal="left" wrapText="1"/>
    </xf>
    <xf numFmtId="3" fontId="18" fillId="0" borderId="11" xfId="0" applyNumberFormat="1" applyFont="1" applyBorder="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right" vertical="center" wrapText="1"/>
    </xf>
    <xf numFmtId="0" fontId="2" fillId="0" borderId="12" xfId="0" applyFont="1" applyBorder="1" applyAlignment="1">
      <alignment horizontal="left"/>
    </xf>
    <xf numFmtId="9" fontId="23" fillId="33" borderId="11" xfId="69" applyFont="1" applyFill="1" applyBorder="1" applyAlignment="1">
      <alignment horizontal="center" vertical="center" wrapText="1"/>
    </xf>
    <xf numFmtId="9" fontId="23" fillId="33" borderId="12" xfId="69" applyFont="1" applyFill="1" applyBorder="1" applyAlignment="1">
      <alignment horizontal="center" vertical="center" wrapText="1"/>
    </xf>
    <xf numFmtId="9" fontId="16" fillId="33" borderId="12" xfId="69" applyFont="1" applyFill="1" applyBorder="1" applyAlignment="1">
      <alignment horizontal="center" vertical="center" wrapText="1"/>
    </xf>
    <xf numFmtId="3" fontId="4" fillId="0" borderId="0" xfId="0" applyNumberFormat="1" applyFont="1" applyAlignment="1">
      <alignment vertical="center"/>
    </xf>
    <xf numFmtId="9" fontId="4" fillId="33" borderId="11" xfId="69" applyFont="1" applyFill="1" applyBorder="1" applyAlignment="1">
      <alignment horizontal="center" vertical="center" wrapText="1"/>
    </xf>
    <xf numFmtId="9" fontId="4" fillId="33" borderId="12" xfId="69" applyFont="1" applyFill="1" applyBorder="1" applyAlignment="1">
      <alignment horizontal="center" vertical="center" wrapText="1"/>
    </xf>
    <xf numFmtId="9" fontId="2" fillId="33" borderId="12" xfId="69" applyFont="1" applyFill="1" applyBorder="1" applyAlignment="1">
      <alignment horizontal="center" vertical="center" wrapText="1"/>
    </xf>
    <xf numFmtId="9" fontId="2" fillId="33" borderId="13" xfId="69" applyFont="1" applyFill="1" applyBorder="1" applyAlignment="1">
      <alignment horizontal="center" vertical="center" wrapText="1"/>
    </xf>
    <xf numFmtId="9" fontId="12" fillId="0" borderId="12" xfId="69" applyFont="1" applyBorder="1" applyAlignment="1">
      <alignment horizontal="center" vertical="center" wrapText="1"/>
    </xf>
    <xf numFmtId="0" fontId="4" fillId="33" borderId="0" xfId="0" applyFont="1" applyFill="1" applyAlignment="1">
      <alignment vertical="center"/>
    </xf>
    <xf numFmtId="0" fontId="32" fillId="33" borderId="0" xfId="0" applyFont="1" applyFill="1" applyAlignment="1">
      <alignment/>
    </xf>
    <xf numFmtId="0" fontId="33" fillId="33" borderId="0" xfId="0" applyFont="1" applyFill="1" applyAlignment="1">
      <alignment/>
    </xf>
    <xf numFmtId="0" fontId="34" fillId="33" borderId="0" xfId="0" applyFont="1" applyFill="1" applyAlignment="1">
      <alignment/>
    </xf>
    <xf numFmtId="0" fontId="33" fillId="33" borderId="0" xfId="0" applyFont="1" applyFill="1" applyAlignment="1">
      <alignment horizontal="center"/>
    </xf>
    <xf numFmtId="175" fontId="2" fillId="0" borderId="12" xfId="47" applyNumberFormat="1" applyFont="1" applyBorder="1" applyAlignment="1">
      <alignment vertical="center" wrapText="1"/>
    </xf>
    <xf numFmtId="175" fontId="2" fillId="0" borderId="12" xfId="47" applyNumberFormat="1" applyFont="1" applyFill="1" applyBorder="1" applyAlignment="1">
      <alignment vertical="center" wrapText="1"/>
    </xf>
    <xf numFmtId="0" fontId="80" fillId="0" borderId="0" xfId="62" applyFont="1">
      <alignment/>
      <protection/>
    </xf>
    <xf numFmtId="0" fontId="23" fillId="0" borderId="0" xfId="62" applyFont="1" applyAlignment="1">
      <alignment horizontal="right" vertical="center"/>
      <protection/>
    </xf>
    <xf numFmtId="0" fontId="35" fillId="33" borderId="0" xfId="0" applyFont="1" applyFill="1" applyAlignment="1">
      <alignment/>
    </xf>
    <xf numFmtId="0" fontId="30" fillId="0" borderId="0" xfId="62" applyFont="1" applyAlignment="1">
      <alignment horizontal="right" vertical="center"/>
      <protection/>
    </xf>
    <xf numFmtId="0" fontId="23" fillId="0" borderId="10" xfId="62" applyFont="1" applyBorder="1" applyAlignment="1">
      <alignment horizontal="center" vertical="center" wrapText="1"/>
      <protection/>
    </xf>
    <xf numFmtId="0" fontId="23" fillId="0" borderId="10" xfId="62" applyFont="1" applyBorder="1" applyAlignment="1">
      <alignment vertical="center" wrapText="1"/>
      <protection/>
    </xf>
    <xf numFmtId="3" fontId="23" fillId="0" borderId="10" xfId="62" applyNumberFormat="1" applyFont="1" applyBorder="1" applyAlignment="1">
      <alignment vertical="center" wrapText="1"/>
      <protection/>
    </xf>
    <xf numFmtId="3" fontId="81" fillId="0" borderId="0" xfId="62" applyNumberFormat="1" applyFont="1">
      <alignment/>
      <protection/>
    </xf>
    <xf numFmtId="0" fontId="16" fillId="0" borderId="16" xfId="62" applyFont="1" applyBorder="1" applyAlignment="1">
      <alignment horizontal="center" vertical="center" wrapText="1"/>
      <protection/>
    </xf>
    <xf numFmtId="3" fontId="16" fillId="0" borderId="16" xfId="62" applyNumberFormat="1" applyFont="1" applyBorder="1" applyAlignment="1">
      <alignment vertical="center" wrapText="1"/>
      <protection/>
    </xf>
    <xf numFmtId="0" fontId="16" fillId="0" borderId="12" xfId="62" applyFont="1" applyBorder="1" applyAlignment="1">
      <alignment horizontal="center" vertical="center" wrapText="1"/>
      <protection/>
    </xf>
    <xf numFmtId="3" fontId="16" fillId="0" borderId="12" xfId="62" applyNumberFormat="1" applyFont="1" applyBorder="1" applyAlignment="1">
      <alignment vertical="center" wrapText="1"/>
      <protection/>
    </xf>
    <xf numFmtId="3" fontId="80" fillId="0" borderId="0" xfId="62" applyNumberFormat="1" applyFont="1">
      <alignment/>
      <protection/>
    </xf>
    <xf numFmtId="0" fontId="16" fillId="34" borderId="12" xfId="62" applyFont="1" applyFill="1" applyBorder="1" applyAlignment="1">
      <alignment horizontal="center" vertical="center" wrapText="1"/>
      <protection/>
    </xf>
    <xf numFmtId="3" fontId="16" fillId="0" borderId="12" xfId="62" applyNumberFormat="1" applyFont="1" applyFill="1" applyBorder="1" applyAlignment="1">
      <alignment vertical="center" wrapText="1"/>
      <protection/>
    </xf>
    <xf numFmtId="3" fontId="16" fillId="0" borderId="16" xfId="62" applyNumberFormat="1" applyFont="1" applyFill="1" applyBorder="1" applyAlignment="1">
      <alignment vertical="center" wrapText="1"/>
      <protection/>
    </xf>
    <xf numFmtId="0" fontId="36" fillId="33" borderId="0" xfId="0" applyFont="1" applyFill="1" applyAlignment="1">
      <alignment/>
    </xf>
    <xf numFmtId="3" fontId="16" fillId="0" borderId="13" xfId="62" applyNumberFormat="1" applyFont="1" applyBorder="1" applyAlignment="1">
      <alignment vertical="center" wrapText="1"/>
      <protection/>
    </xf>
    <xf numFmtId="0" fontId="35" fillId="33" borderId="0" xfId="0" applyFont="1" applyFill="1" applyAlignment="1">
      <alignment horizontal="center"/>
    </xf>
    <xf numFmtId="0" fontId="82" fillId="0" borderId="0" xfId="0" applyFont="1" applyAlignment="1">
      <alignment horizontal="right" vertical="center"/>
    </xf>
    <xf numFmtId="0" fontId="83" fillId="0" borderId="0" xfId="0" applyFont="1" applyAlignment="1">
      <alignment horizontal="right" vertical="center"/>
    </xf>
    <xf numFmtId="0" fontId="82" fillId="0" borderId="10" xfId="0" applyFont="1" applyBorder="1" applyAlignment="1">
      <alignment horizontal="center" vertical="center" wrapText="1"/>
    </xf>
    <xf numFmtId="0" fontId="82" fillId="0" borderId="10" xfId="0" applyFont="1" applyBorder="1" applyAlignment="1">
      <alignment vertical="center" wrapText="1"/>
    </xf>
    <xf numFmtId="0" fontId="84" fillId="0" borderId="0" xfId="0" applyFont="1" applyAlignment="1">
      <alignment/>
    </xf>
    <xf numFmtId="0" fontId="82" fillId="0" borderId="11" xfId="0" applyFont="1" applyBorder="1" applyAlignment="1">
      <alignment horizontal="center" vertical="center" wrapText="1"/>
    </xf>
    <xf numFmtId="0" fontId="82" fillId="0" borderId="11" xfId="0" applyFont="1" applyBorder="1" applyAlignment="1">
      <alignment vertical="center" wrapText="1"/>
    </xf>
    <xf numFmtId="0" fontId="85" fillId="0" borderId="12" xfId="0" applyFont="1" applyBorder="1" applyAlignment="1">
      <alignment horizontal="center" vertical="center" wrapText="1"/>
    </xf>
    <xf numFmtId="0" fontId="85" fillId="0" borderId="12" xfId="0" applyFont="1" applyFill="1" applyBorder="1" applyAlignment="1">
      <alignment horizontal="center" vertical="center" wrapText="1"/>
    </xf>
    <xf numFmtId="0" fontId="2" fillId="0" borderId="12" xfId="0" applyFont="1" applyBorder="1" applyAlignment="1">
      <alignment vertical="center" wrapText="1"/>
    </xf>
    <xf numFmtId="0" fontId="82" fillId="0" borderId="12" xfId="0" applyFont="1" applyBorder="1" applyAlignment="1">
      <alignment horizontal="center" vertical="center" wrapText="1"/>
    </xf>
    <xf numFmtId="0" fontId="82" fillId="0" borderId="12" xfId="0" applyFont="1" applyBorder="1" applyAlignment="1">
      <alignment vertical="center" wrapText="1"/>
    </xf>
    <xf numFmtId="0" fontId="82" fillId="0" borderId="13" xfId="0" applyFont="1" applyBorder="1" applyAlignment="1">
      <alignment horizontal="center" vertical="center" wrapText="1"/>
    </xf>
    <xf numFmtId="0" fontId="82" fillId="0" borderId="13" xfId="0" applyFont="1" applyBorder="1" applyAlignment="1">
      <alignment vertical="center" wrapText="1"/>
    </xf>
    <xf numFmtId="0" fontId="86" fillId="0" borderId="0" xfId="0" applyFont="1" applyAlignment="1">
      <alignment/>
    </xf>
    <xf numFmtId="0" fontId="18" fillId="0" borderId="17" xfId="0" applyFont="1" applyBorder="1" applyAlignment="1">
      <alignment horizontal="center" vertical="center" wrapText="1"/>
    </xf>
    <xf numFmtId="0" fontId="18" fillId="0" borderId="18" xfId="0" applyFont="1" applyFill="1" applyBorder="1" applyAlignment="1">
      <alignment horizontal="center" vertical="center" wrapText="1"/>
    </xf>
    <xf numFmtId="0" fontId="6" fillId="0" borderId="0" xfId="0" applyFont="1" applyAlignment="1">
      <alignment/>
    </xf>
    <xf numFmtId="0" fontId="18" fillId="0" borderId="0" xfId="0" applyFont="1" applyAlignment="1">
      <alignment/>
    </xf>
    <xf numFmtId="0" fontId="6" fillId="0" borderId="12" xfId="0" applyFont="1" applyBorder="1" applyAlignment="1">
      <alignment vertical="center" wrapText="1"/>
    </xf>
    <xf numFmtId="3" fontId="2" fillId="0" borderId="12" xfId="0" applyNumberFormat="1" applyFont="1" applyFill="1" applyBorder="1" applyAlignment="1">
      <alignment vertical="center"/>
    </xf>
    <xf numFmtId="3" fontId="2" fillId="0" borderId="12" xfId="0" applyNumberFormat="1" applyFont="1" applyBorder="1" applyAlignment="1">
      <alignment vertical="center" wrapText="1"/>
    </xf>
    <xf numFmtId="3" fontId="6" fillId="0" borderId="12" xfId="0" applyNumberFormat="1" applyFont="1" applyBorder="1" applyAlignment="1">
      <alignment horizontal="right" vertical="center" wrapText="1"/>
    </xf>
    <xf numFmtId="0" fontId="6" fillId="0" borderId="12" xfId="0" applyFont="1" applyBorder="1" applyAlignment="1">
      <alignment/>
    </xf>
    <xf numFmtId="3" fontId="2" fillId="0" borderId="12" xfId="0" applyNumberFormat="1" applyFont="1" applyBorder="1" applyAlignment="1">
      <alignment/>
    </xf>
    <xf numFmtId="0" fontId="6" fillId="0" borderId="13" xfId="0" applyFont="1" applyBorder="1" applyAlignment="1">
      <alignment/>
    </xf>
    <xf numFmtId="3" fontId="2" fillId="0" borderId="13" xfId="0" applyNumberFormat="1" applyFont="1" applyFill="1" applyBorder="1" applyAlignment="1">
      <alignment vertical="center"/>
    </xf>
    <xf numFmtId="3" fontId="2" fillId="0" borderId="13" xfId="0" applyNumberFormat="1" applyFont="1" applyBorder="1" applyAlignment="1">
      <alignment/>
    </xf>
    <xf numFmtId="3" fontId="6" fillId="0" borderId="13" xfId="0" applyNumberFormat="1" applyFont="1" applyBorder="1" applyAlignment="1">
      <alignment horizontal="right" vertical="center" wrapText="1"/>
    </xf>
    <xf numFmtId="0" fontId="6" fillId="0" borderId="16" xfId="0" applyFont="1" applyBorder="1" applyAlignment="1">
      <alignment horizontal="center" vertical="center" wrapText="1"/>
    </xf>
    <xf numFmtId="0" fontId="2" fillId="0" borderId="16" xfId="0" applyFont="1" applyBorder="1" applyAlignment="1">
      <alignment horizontal="left" wrapText="1"/>
    </xf>
    <xf numFmtId="3" fontId="6" fillId="0" borderId="16" xfId="0" applyNumberFormat="1" applyFont="1" applyBorder="1" applyAlignment="1">
      <alignment vertical="center" wrapText="1"/>
    </xf>
    <xf numFmtId="0" fontId="6" fillId="0" borderId="16" xfId="0" applyFont="1" applyBorder="1" applyAlignment="1">
      <alignment vertical="center" wrapText="1"/>
    </xf>
    <xf numFmtId="3" fontId="2" fillId="0" borderId="16" xfId="0" applyNumberFormat="1" applyFont="1" applyFill="1" applyBorder="1" applyAlignment="1">
      <alignment vertical="center"/>
    </xf>
    <xf numFmtId="3" fontId="2" fillId="0" borderId="16" xfId="0" applyNumberFormat="1" applyFont="1" applyBorder="1" applyAlignment="1">
      <alignment vertical="center" wrapText="1"/>
    </xf>
    <xf numFmtId="3" fontId="6" fillId="0" borderId="16" xfId="0" applyNumberFormat="1" applyFont="1" applyBorder="1" applyAlignment="1">
      <alignment horizontal="right" vertical="center" wrapText="1"/>
    </xf>
    <xf numFmtId="3" fontId="18" fillId="0" borderId="10" xfId="0" applyNumberFormat="1" applyFont="1" applyBorder="1" applyAlignment="1">
      <alignment vertical="center" wrapText="1"/>
    </xf>
    <xf numFmtId="3" fontId="6" fillId="0" borderId="11" xfId="0" applyNumberFormat="1" applyFont="1" applyBorder="1" applyAlignment="1">
      <alignment vertical="center" wrapText="1"/>
    </xf>
    <xf numFmtId="3" fontId="87" fillId="0" borderId="10" xfId="0" applyNumberFormat="1" applyFont="1" applyBorder="1" applyAlignment="1">
      <alignment vertical="center" wrapText="1"/>
    </xf>
    <xf numFmtId="3" fontId="6" fillId="0" borderId="0" xfId="0" applyNumberFormat="1" applyFont="1" applyAlignment="1">
      <alignment/>
    </xf>
    <xf numFmtId="0" fontId="88" fillId="0" borderId="0" xfId="0" applyFont="1" applyAlignment="1">
      <alignment/>
    </xf>
    <xf numFmtId="0" fontId="26" fillId="0" borderId="12" xfId="0" applyFont="1" applyBorder="1" applyAlignment="1">
      <alignment horizontal="center" vertical="center" wrapText="1"/>
    </xf>
    <xf numFmtId="0" fontId="26" fillId="0" borderId="12" xfId="0" applyFont="1" applyBorder="1" applyAlignment="1">
      <alignment vertical="center" wrapText="1"/>
    </xf>
    <xf numFmtId="0" fontId="27"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3" xfId="0" applyFont="1" applyBorder="1" applyAlignment="1">
      <alignment vertical="center" wrapText="1"/>
    </xf>
    <xf numFmtId="0" fontId="27" fillId="0" borderId="13" xfId="0" applyFont="1" applyBorder="1" applyAlignment="1">
      <alignment horizontal="center" vertical="center" wrapText="1"/>
    </xf>
    <xf numFmtId="0" fontId="30" fillId="0" borderId="0" xfId="0" applyFont="1" applyAlignment="1">
      <alignment vertical="center" wrapText="1"/>
    </xf>
    <xf numFmtId="0" fontId="89" fillId="0" borderId="0" xfId="0" applyFont="1" applyAlignment="1">
      <alignment/>
    </xf>
    <xf numFmtId="0" fontId="14" fillId="0" borderId="0" xfId="0" applyFont="1" applyAlignment="1">
      <alignment/>
    </xf>
    <xf numFmtId="0" fontId="12" fillId="0" borderId="0" xfId="0" applyFont="1" applyAlignment="1">
      <alignment/>
    </xf>
    <xf numFmtId="0" fontId="16" fillId="0" borderId="12" xfId="0" applyNumberFormat="1" applyFont="1" applyFill="1" applyBorder="1" applyAlignment="1" applyProtection="1">
      <alignment horizontal="center"/>
      <protection/>
    </xf>
    <xf numFmtId="3" fontId="16" fillId="33" borderId="12" xfId="0" applyNumberFormat="1" applyFont="1" applyFill="1" applyBorder="1" applyAlignment="1">
      <alignment horizontal="right"/>
    </xf>
    <xf numFmtId="0" fontId="16" fillId="0" borderId="13" xfId="0" applyNumberFormat="1" applyFont="1" applyFill="1" applyBorder="1" applyAlignment="1" applyProtection="1">
      <alignment horizontal="center"/>
      <protection/>
    </xf>
    <xf numFmtId="3" fontId="16" fillId="33" borderId="13" xfId="0" applyNumberFormat="1" applyFont="1" applyFill="1" applyBorder="1" applyAlignment="1">
      <alignment horizontal="right"/>
    </xf>
    <xf numFmtId="0" fontId="6" fillId="0" borderId="10" xfId="0" applyFont="1" applyBorder="1" applyAlignment="1">
      <alignment horizontal="center" vertical="center" wrapText="1"/>
    </xf>
    <xf numFmtId="3" fontId="18" fillId="0" borderId="11" xfId="0" applyNumberFormat="1" applyFont="1" applyBorder="1" applyAlignment="1">
      <alignment horizontal="center" vertical="center" wrapText="1"/>
    </xf>
    <xf numFmtId="3" fontId="18" fillId="0" borderId="0" xfId="0" applyNumberFormat="1" applyFont="1" applyBorder="1" applyAlignment="1">
      <alignment vertical="center" wrapText="1"/>
    </xf>
    <xf numFmtId="3" fontId="6" fillId="0" borderId="0" xfId="0" applyNumberFormat="1" applyFont="1" applyBorder="1" applyAlignment="1">
      <alignment vertical="center" wrapText="1"/>
    </xf>
    <xf numFmtId="3" fontId="2" fillId="33" borderId="0" xfId="0" applyNumberFormat="1" applyFont="1" applyFill="1" applyBorder="1" applyAlignment="1">
      <alignment horizontal="right"/>
    </xf>
    <xf numFmtId="3" fontId="5" fillId="33" borderId="0" xfId="0" applyNumberFormat="1" applyFont="1" applyFill="1" applyBorder="1" applyAlignment="1">
      <alignment horizontal="center"/>
    </xf>
    <xf numFmtId="3" fontId="2" fillId="33" borderId="0" xfId="0" applyNumberFormat="1" applyFont="1" applyFill="1" applyBorder="1" applyAlignment="1">
      <alignment horizontal="center" vertical="center"/>
    </xf>
    <xf numFmtId="0" fontId="6" fillId="0" borderId="0" xfId="0" applyFont="1" applyBorder="1" applyAlignment="1">
      <alignment/>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33" borderId="12" xfId="0" applyNumberFormat="1" applyFont="1" applyFill="1" applyBorder="1" applyAlignment="1">
      <alignment horizontal="left" vertical="center" wrapText="1"/>
    </xf>
    <xf numFmtId="3" fontId="2" fillId="33" borderId="12" xfId="0" applyNumberFormat="1" applyFont="1" applyFill="1" applyBorder="1" applyAlignment="1">
      <alignment horizontal="right"/>
    </xf>
    <xf numFmtId="3" fontId="5" fillId="33" borderId="12" xfId="0" applyNumberFormat="1" applyFont="1" applyFill="1" applyBorder="1" applyAlignment="1">
      <alignment horizontal="right"/>
    </xf>
    <xf numFmtId="3" fontId="2" fillId="33" borderId="12" xfId="0" applyNumberFormat="1" applyFont="1" applyFill="1" applyBorder="1" applyAlignment="1">
      <alignment horizontal="right" vertical="center"/>
    </xf>
    <xf numFmtId="175" fontId="2" fillId="34" borderId="12" xfId="41" applyNumberFormat="1" applyFont="1" applyFill="1" applyBorder="1" applyAlignment="1">
      <alignment horizontal="right"/>
    </xf>
    <xf numFmtId="0" fontId="2" fillId="33" borderId="13" xfId="0" applyNumberFormat="1" applyFont="1" applyFill="1" applyBorder="1" applyAlignment="1">
      <alignment horizontal="left" vertical="center" wrapText="1"/>
    </xf>
    <xf numFmtId="3" fontId="2" fillId="33" borderId="13" xfId="0" applyNumberFormat="1" applyFont="1" applyFill="1" applyBorder="1" applyAlignment="1">
      <alignment horizontal="right"/>
    </xf>
    <xf numFmtId="3" fontId="5" fillId="33" borderId="13" xfId="0" applyNumberFormat="1" applyFont="1" applyFill="1" applyBorder="1" applyAlignment="1">
      <alignment horizontal="right"/>
    </xf>
    <xf numFmtId="3" fontId="2" fillId="33" borderId="13" xfId="0" applyNumberFormat="1" applyFont="1" applyFill="1" applyBorder="1" applyAlignment="1">
      <alignment horizontal="right" vertical="center"/>
    </xf>
    <xf numFmtId="0" fontId="2" fillId="33" borderId="0" xfId="0" applyNumberFormat="1" applyFont="1" applyFill="1" applyBorder="1" applyAlignment="1">
      <alignment horizontal="left"/>
    </xf>
    <xf numFmtId="175" fontId="2" fillId="0" borderId="0" xfId="41" applyNumberFormat="1" applyFont="1" applyBorder="1" applyAlignment="1">
      <alignment/>
    </xf>
    <xf numFmtId="0" fontId="82" fillId="0" borderId="10" xfId="0" applyFont="1" applyBorder="1" applyAlignment="1">
      <alignment horizontal="center" vertical="center" wrapText="1"/>
    </xf>
    <xf numFmtId="3" fontId="18" fillId="0" borderId="0" xfId="0" applyNumberFormat="1" applyFont="1" applyAlignment="1">
      <alignment vertical="center"/>
    </xf>
    <xf numFmtId="3" fontId="18" fillId="0" borderId="0" xfId="0" applyNumberFormat="1" applyFont="1" applyAlignment="1">
      <alignment/>
    </xf>
    <xf numFmtId="3" fontId="18" fillId="0" borderId="11" xfId="0" applyNumberFormat="1" applyFont="1" applyBorder="1" applyAlignment="1">
      <alignment vertical="center" wrapText="1"/>
    </xf>
    <xf numFmtId="3" fontId="4" fillId="0" borderId="11" xfId="0" applyNumberFormat="1" applyFont="1" applyBorder="1" applyAlignment="1">
      <alignment vertical="center" wrapText="1"/>
    </xf>
    <xf numFmtId="172" fontId="18" fillId="0" borderId="11" xfId="69" applyNumberFormat="1" applyFont="1" applyBorder="1" applyAlignment="1">
      <alignment horizontal="center" vertical="center"/>
    </xf>
    <xf numFmtId="9" fontId="18" fillId="0" borderId="11" xfId="69" applyFont="1" applyBorder="1" applyAlignment="1">
      <alignment horizontal="center" vertical="center" wrapText="1"/>
    </xf>
    <xf numFmtId="3" fontId="12" fillId="0" borderId="0" xfId="0" applyNumberFormat="1" applyFont="1" applyAlignment="1">
      <alignment/>
    </xf>
    <xf numFmtId="175" fontId="37" fillId="34" borderId="12" xfId="41" applyNumberFormat="1" applyFont="1" applyFill="1" applyBorder="1" applyAlignment="1">
      <alignment horizontal="left" wrapText="1"/>
    </xf>
    <xf numFmtId="175" fontId="2" fillId="33" borderId="12" xfId="0" applyNumberFormat="1" applyFont="1" applyFill="1" applyBorder="1" applyAlignment="1">
      <alignment vertical="center" wrapText="1"/>
    </xf>
    <xf numFmtId="172" fontId="6" fillId="0" borderId="12" xfId="69" applyNumberFormat="1" applyFont="1" applyBorder="1" applyAlignment="1">
      <alignment horizontal="center" vertical="center" wrapText="1"/>
    </xf>
    <xf numFmtId="9" fontId="6" fillId="0" borderId="12" xfId="69" applyFont="1" applyBorder="1" applyAlignment="1">
      <alignment horizontal="center" vertical="center" wrapText="1"/>
    </xf>
    <xf numFmtId="176" fontId="14" fillId="0" borderId="0" xfId="41" applyNumberFormat="1" applyFont="1" applyAlignment="1">
      <alignment/>
    </xf>
    <xf numFmtId="175" fontId="37" fillId="34" borderId="13" xfId="41" applyNumberFormat="1" applyFont="1" applyFill="1" applyBorder="1" applyAlignment="1">
      <alignment horizontal="left" wrapText="1"/>
    </xf>
    <xf numFmtId="175" fontId="2" fillId="33" borderId="13" xfId="0" applyNumberFormat="1" applyFont="1" applyFill="1" applyBorder="1" applyAlignment="1">
      <alignment vertical="center" wrapText="1"/>
    </xf>
    <xf numFmtId="172" fontId="6" fillId="0" borderId="13" xfId="69" applyNumberFormat="1" applyFont="1" applyBorder="1" applyAlignment="1">
      <alignment horizontal="center" vertical="center" wrapText="1"/>
    </xf>
    <xf numFmtId="9" fontId="6" fillId="0" borderId="13" xfId="69" applyFont="1" applyBorder="1" applyAlignment="1">
      <alignment horizontal="center" vertical="center" wrapText="1"/>
    </xf>
    <xf numFmtId="0" fontId="16" fillId="0" borderId="0" xfId="0" applyNumberFormat="1" applyFont="1" applyFill="1" applyBorder="1" applyAlignment="1" applyProtection="1">
      <alignment horizontal="center"/>
      <protection/>
    </xf>
    <xf numFmtId="175" fontId="37" fillId="34" borderId="0" xfId="41" applyNumberFormat="1" applyFont="1" applyFill="1" applyBorder="1" applyAlignment="1">
      <alignment horizontal="left" vertical="center" wrapText="1"/>
    </xf>
    <xf numFmtId="3" fontId="12" fillId="0" borderId="0" xfId="0" applyNumberFormat="1" applyFont="1" applyBorder="1" applyAlignment="1">
      <alignment vertical="center" wrapText="1"/>
    </xf>
    <xf numFmtId="175" fontId="2" fillId="33" borderId="0" xfId="0" applyNumberFormat="1" applyFont="1" applyFill="1" applyBorder="1" applyAlignment="1">
      <alignment vertical="center" wrapText="1"/>
    </xf>
    <xf numFmtId="3" fontId="23" fillId="0" borderId="0" xfId="0" applyNumberFormat="1" applyFont="1" applyBorder="1" applyAlignment="1">
      <alignment vertical="center" wrapText="1"/>
    </xf>
    <xf numFmtId="9" fontId="14" fillId="0" borderId="0" xfId="69" applyFont="1" applyBorder="1" applyAlignment="1">
      <alignment vertical="center" wrapText="1"/>
    </xf>
    <xf numFmtId="3" fontId="35" fillId="33" borderId="0" xfId="0" applyNumberFormat="1" applyFont="1" applyFill="1" applyAlignment="1">
      <alignment/>
    </xf>
    <xf numFmtId="175" fontId="2" fillId="0" borderId="14" xfId="47" applyNumberFormat="1" applyFont="1" applyBorder="1" applyAlignment="1">
      <alignment vertical="center" wrapText="1"/>
    </xf>
    <xf numFmtId="0" fontId="90" fillId="0" borderId="0" xfId="0" applyFont="1" applyAlignment="1">
      <alignment/>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1" xfId="0" applyFont="1" applyBorder="1" applyAlignment="1">
      <alignment horizontal="left" vertical="center" wrapText="1"/>
    </xf>
    <xf numFmtId="0" fontId="86" fillId="0" borderId="12" xfId="0" applyFont="1" applyBorder="1" applyAlignment="1">
      <alignment horizontal="left" vertical="center" wrapText="1"/>
    </xf>
    <xf numFmtId="0" fontId="86" fillId="0" borderId="13" xfId="0" applyFont="1" applyBorder="1" applyAlignment="1">
      <alignment horizontal="left" vertical="center" wrapText="1"/>
    </xf>
    <xf numFmtId="9" fontId="86" fillId="0" borderId="11" xfId="0" applyNumberFormat="1" applyFont="1" applyBorder="1" applyAlignment="1">
      <alignment horizontal="center" vertical="center" wrapText="1"/>
    </xf>
    <xf numFmtId="9" fontId="86" fillId="0" borderId="12" xfId="0" applyNumberFormat="1" applyFont="1" applyBorder="1" applyAlignment="1">
      <alignment horizontal="center" vertical="center" wrapText="1"/>
    </xf>
    <xf numFmtId="9" fontId="86" fillId="0" borderId="13" xfId="0" applyNumberFormat="1" applyFont="1" applyBorder="1" applyAlignment="1">
      <alignment horizontal="center" vertical="center" wrapText="1"/>
    </xf>
    <xf numFmtId="0" fontId="90" fillId="0" borderId="19" xfId="0" applyFont="1" applyBorder="1" applyAlignment="1">
      <alignment horizontal="center" vertical="center" wrapText="1"/>
    </xf>
    <xf numFmtId="190" fontId="0" fillId="0" borderId="0" xfId="69" applyNumberFormat="1" applyFont="1" applyAlignment="1">
      <alignment/>
    </xf>
    <xf numFmtId="3" fontId="6" fillId="0" borderId="0" xfId="0" applyNumberFormat="1" applyFont="1" applyAlignment="1">
      <alignment vertical="center"/>
    </xf>
    <xf numFmtId="175" fontId="91" fillId="34" borderId="12" xfId="41" applyNumberFormat="1" applyFont="1" applyFill="1" applyBorder="1" applyAlignment="1">
      <alignment horizontal="left" wrapText="1"/>
    </xf>
    <xf numFmtId="173" fontId="14" fillId="0" borderId="0" xfId="0" applyNumberFormat="1" applyFont="1" applyAlignment="1">
      <alignment/>
    </xf>
    <xf numFmtId="0" fontId="82"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0" xfId="0" applyFont="1" applyBorder="1" applyAlignment="1">
      <alignment vertical="center" wrapText="1"/>
    </xf>
    <xf numFmtId="0" fontId="0" fillId="0" borderId="0" xfId="0" applyAlignment="1">
      <alignment horizontal="left"/>
    </xf>
    <xf numFmtId="3" fontId="16" fillId="0" borderId="14" xfId="62" applyNumberFormat="1" applyFont="1" applyBorder="1" applyAlignment="1">
      <alignment vertical="center" wrapText="1"/>
      <protection/>
    </xf>
    <xf numFmtId="3" fontId="16" fillId="0" borderId="18" xfId="62" applyNumberFormat="1" applyFont="1" applyBorder="1" applyAlignment="1">
      <alignment vertical="center" wrapText="1"/>
      <protection/>
    </xf>
    <xf numFmtId="176" fontId="82" fillId="0" borderId="10" xfId="0" applyNumberFormat="1" applyFont="1" applyBorder="1" applyAlignment="1">
      <alignment horizontal="right" vertical="center" wrapText="1"/>
    </xf>
    <xf numFmtId="176" fontId="85" fillId="0" borderId="10" xfId="41" applyNumberFormat="1" applyFont="1" applyBorder="1" applyAlignment="1">
      <alignment horizontal="right" vertical="center" wrapText="1"/>
    </xf>
    <xf numFmtId="0" fontId="85" fillId="0" borderId="10" xfId="0" applyFont="1" applyBorder="1" applyAlignment="1">
      <alignment horizontal="right" vertical="center" wrapText="1"/>
    </xf>
    <xf numFmtId="0" fontId="82" fillId="0" borderId="10" xfId="0" applyFont="1" applyBorder="1" applyAlignment="1">
      <alignment horizontal="right" vertical="center" wrapText="1"/>
    </xf>
    <xf numFmtId="0" fontId="82" fillId="0" borderId="10" xfId="0" applyFont="1" applyBorder="1" applyAlignment="1">
      <alignment horizontal="center" vertical="center" wrapText="1"/>
    </xf>
    <xf numFmtId="175" fontId="92" fillId="0" borderId="12" xfId="45" applyNumberFormat="1" applyFont="1" applyFill="1" applyBorder="1" applyAlignment="1">
      <alignment vertical="center" wrapText="1"/>
    </xf>
    <xf numFmtId="175" fontId="93" fillId="0" borderId="12" xfId="45" applyNumberFormat="1" applyFont="1" applyFill="1" applyBorder="1" applyAlignment="1" applyProtection="1">
      <alignment vertical="center"/>
      <protection/>
    </xf>
    <xf numFmtId="175" fontId="92" fillId="0" borderId="12" xfId="45" applyNumberFormat="1" applyFont="1" applyFill="1" applyBorder="1" applyAlignment="1" applyProtection="1">
      <alignment vertical="center"/>
      <protection/>
    </xf>
    <xf numFmtId="175" fontId="93" fillId="0" borderId="12" xfId="45" applyNumberFormat="1" applyFont="1" applyFill="1" applyBorder="1" applyAlignment="1">
      <alignment vertical="center"/>
    </xf>
    <xf numFmtId="175" fontId="92" fillId="0" borderId="12" xfId="45" applyNumberFormat="1" applyFont="1" applyFill="1" applyBorder="1" applyAlignment="1">
      <alignment vertical="center"/>
    </xf>
    <xf numFmtId="175" fontId="92" fillId="35" borderId="12" xfId="45" applyNumberFormat="1" applyFont="1" applyFill="1" applyBorder="1" applyAlignment="1">
      <alignment vertical="center"/>
    </xf>
    <xf numFmtId="175" fontId="92" fillId="0" borderId="12" xfId="45" applyNumberFormat="1" applyFont="1" applyFill="1" applyBorder="1" applyAlignment="1" applyProtection="1">
      <alignment vertical="center" wrapText="1"/>
      <protection/>
    </xf>
    <xf numFmtId="175" fontId="93" fillId="34" borderId="12" xfId="45" applyNumberFormat="1" applyFont="1" applyFill="1" applyBorder="1" applyAlignment="1">
      <alignment vertical="center"/>
    </xf>
    <xf numFmtId="175" fontId="92" fillId="34" borderId="12" xfId="45" applyNumberFormat="1" applyFont="1" applyFill="1" applyBorder="1" applyAlignment="1" applyProtection="1">
      <alignment vertical="center" wrapText="1"/>
      <protection/>
    </xf>
    <xf numFmtId="175" fontId="92" fillId="0" borderId="12" xfId="0" applyNumberFormat="1" applyFont="1" applyBorder="1" applyAlignment="1">
      <alignment vertical="center"/>
    </xf>
    <xf numFmtId="175" fontId="93" fillId="0" borderId="12" xfId="0" applyNumberFormat="1" applyFont="1" applyBorder="1" applyAlignment="1">
      <alignment/>
    </xf>
    <xf numFmtId="0" fontId="93" fillId="0" borderId="12" xfId="0" applyFont="1" applyBorder="1" applyAlignment="1">
      <alignment/>
    </xf>
    <xf numFmtId="3" fontId="92" fillId="0" borderId="12" xfId="46" applyNumberFormat="1" applyFont="1" applyFill="1" applyBorder="1" applyAlignment="1">
      <alignment horizontal="right" vertical="center" wrapText="1"/>
    </xf>
    <xf numFmtId="3" fontId="93" fillId="0" borderId="12" xfId="46" applyNumberFormat="1" applyFont="1" applyFill="1" applyBorder="1" applyAlignment="1">
      <alignment horizontal="right" vertical="center" wrapText="1"/>
    </xf>
    <xf numFmtId="175" fontId="92" fillId="0" borderId="12" xfId="45" applyNumberFormat="1" applyFont="1" applyBorder="1" applyAlignment="1">
      <alignment vertical="center"/>
    </xf>
    <xf numFmtId="176" fontId="92" fillId="0" borderId="12" xfId="41" applyNumberFormat="1" applyFont="1" applyFill="1" applyBorder="1" applyAlignment="1">
      <alignment vertical="center"/>
    </xf>
    <xf numFmtId="176" fontId="93" fillId="0" borderId="12" xfId="41" applyNumberFormat="1" applyFont="1" applyFill="1" applyBorder="1" applyAlignment="1">
      <alignment vertical="center"/>
    </xf>
    <xf numFmtId="176" fontId="93" fillId="0" borderId="13" xfId="41" applyNumberFormat="1" applyFont="1" applyFill="1" applyBorder="1" applyAlignment="1">
      <alignment vertical="center"/>
    </xf>
    <xf numFmtId="0" fontId="16" fillId="0" borderId="12" xfId="0" applyFont="1" applyFill="1" applyBorder="1" applyAlignment="1">
      <alignment horizontal="center" vertical="center"/>
    </xf>
    <xf numFmtId="173" fontId="16" fillId="0" borderId="12" xfId="0" applyNumberFormat="1" applyFont="1" applyFill="1" applyBorder="1" applyAlignment="1">
      <alignment vertical="center"/>
    </xf>
    <xf numFmtId="173" fontId="16" fillId="0" borderId="13" xfId="0" applyNumberFormat="1" applyFont="1" applyFill="1" applyBorder="1" applyAlignment="1">
      <alignment vertical="center"/>
    </xf>
    <xf numFmtId="49" fontId="23" fillId="0" borderId="12" xfId="0" applyNumberFormat="1" applyFont="1" applyFill="1" applyBorder="1" applyAlignment="1">
      <alignment horizontal="center" vertical="center" wrapText="1"/>
    </xf>
    <xf numFmtId="173" fontId="23" fillId="0" borderId="12" xfId="0" applyNumberFormat="1" applyFont="1" applyFill="1" applyBorder="1" applyAlignment="1">
      <alignment vertical="center" wrapText="1"/>
    </xf>
    <xf numFmtId="175" fontId="94" fillId="0" borderId="12" xfId="45" applyNumberFormat="1" applyFont="1" applyFill="1" applyBorder="1" applyAlignment="1">
      <alignment vertical="center"/>
    </xf>
    <xf numFmtId="1" fontId="16" fillId="0" borderId="12" xfId="66" applyNumberFormat="1" applyFont="1" applyFill="1" applyBorder="1" applyAlignment="1">
      <alignment horizontal="right" vertical="center"/>
      <protection/>
    </xf>
    <xf numFmtId="175" fontId="89" fillId="0" borderId="12" xfId="45" applyNumberFormat="1" applyFont="1" applyFill="1" applyBorder="1" applyAlignment="1">
      <alignment vertical="center"/>
    </xf>
    <xf numFmtId="175" fontId="94" fillId="0" borderId="12" xfId="45" applyNumberFormat="1" applyFont="1" applyFill="1" applyBorder="1" applyAlignment="1" applyProtection="1">
      <alignment vertical="center" wrapText="1"/>
      <protection/>
    </xf>
    <xf numFmtId="3" fontId="89" fillId="0" borderId="12" xfId="46" applyNumberFormat="1" applyFont="1" applyFill="1" applyBorder="1" applyAlignment="1">
      <alignment horizontal="right" vertical="center" wrapText="1"/>
    </xf>
    <xf numFmtId="176" fontId="94" fillId="0" borderId="12" xfId="41" applyNumberFormat="1" applyFont="1" applyFill="1" applyBorder="1" applyAlignment="1">
      <alignment vertical="center"/>
    </xf>
    <xf numFmtId="1" fontId="16" fillId="0" borderId="13" xfId="66" applyNumberFormat="1" applyFont="1" applyFill="1" applyBorder="1" applyAlignment="1">
      <alignment horizontal="right" vertical="center"/>
      <protection/>
    </xf>
    <xf numFmtId="176" fontId="89" fillId="0" borderId="13" xfId="41" applyNumberFormat="1" applyFont="1" applyFill="1" applyBorder="1" applyAlignment="1">
      <alignment vertical="center"/>
    </xf>
    <xf numFmtId="1" fontId="30" fillId="0" borderId="0" xfId="66" applyNumberFormat="1" applyFont="1" applyFill="1" applyAlignment="1">
      <alignment vertical="center"/>
      <protection/>
    </xf>
    <xf numFmtId="1" fontId="16" fillId="0" borderId="0" xfId="66" applyNumberFormat="1" applyFont="1" applyFill="1" applyAlignment="1">
      <alignment vertical="center"/>
      <protection/>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0" xfId="0" applyFont="1" applyFill="1" applyAlignment="1">
      <alignment vertical="center"/>
    </xf>
    <xf numFmtId="1" fontId="2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0" xfId="0" applyFont="1" applyFill="1" applyAlignment="1">
      <alignment vertical="center"/>
    </xf>
    <xf numFmtId="173" fontId="23" fillId="0" borderId="10" xfId="0" applyNumberFormat="1" applyFont="1" applyFill="1" applyBorder="1" applyAlignment="1">
      <alignment horizontal="right" vertical="center" wrapText="1"/>
    </xf>
    <xf numFmtId="0" fontId="23" fillId="0" borderId="10" xfId="0" applyNumberFormat="1" applyFont="1" applyFill="1" applyBorder="1" applyAlignment="1">
      <alignment horizontal="left" vertical="center" wrapText="1"/>
    </xf>
    <xf numFmtId="3" fontId="23" fillId="0" borderId="14" xfId="0" applyNumberFormat="1" applyFont="1" applyFill="1" applyBorder="1" applyAlignment="1">
      <alignment horizontal="right" vertical="center" wrapText="1"/>
    </xf>
    <xf numFmtId="0" fontId="23" fillId="0" borderId="11" xfId="0" applyFont="1" applyFill="1" applyBorder="1" applyAlignment="1">
      <alignment horizontal="center" vertical="center"/>
    </xf>
    <xf numFmtId="0" fontId="23" fillId="0" borderId="11" xfId="0" applyFont="1" applyFill="1" applyBorder="1" applyAlignment="1">
      <alignment vertical="center"/>
    </xf>
    <xf numFmtId="173" fontId="23" fillId="0" borderId="11" xfId="0" applyNumberFormat="1" applyFont="1" applyFill="1" applyBorder="1" applyAlignment="1">
      <alignment horizontal="right" vertical="center" wrapText="1"/>
    </xf>
    <xf numFmtId="3" fontId="23" fillId="0" borderId="12" xfId="0" applyNumberFormat="1" applyFont="1" applyFill="1" applyBorder="1" applyAlignment="1">
      <alignment horizontal="righ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justify" vertical="center" wrapText="1"/>
    </xf>
    <xf numFmtId="0" fontId="23" fillId="0" borderId="12" xfId="0" applyFont="1" applyFill="1" applyBorder="1" applyAlignment="1">
      <alignment horizontal="center" vertical="center" wrapText="1"/>
    </xf>
    <xf numFmtId="173" fontId="23" fillId="0" borderId="12" xfId="0" applyNumberFormat="1" applyFont="1" applyFill="1" applyBorder="1" applyAlignment="1">
      <alignment horizontal="right" vertical="center" wrapText="1"/>
    </xf>
    <xf numFmtId="0" fontId="23" fillId="0" borderId="0" xfId="0" applyFont="1" applyFill="1" applyAlignment="1">
      <alignment horizontal="center" vertical="center" wrapText="1"/>
    </xf>
    <xf numFmtId="49" fontId="23" fillId="0" borderId="12" xfId="66" applyNumberFormat="1" applyFont="1" applyFill="1" applyBorder="1" applyAlignment="1">
      <alignment horizontal="center" vertical="center"/>
      <protection/>
    </xf>
    <xf numFmtId="1" fontId="23" fillId="0" borderId="12" xfId="66" applyNumberFormat="1" applyFont="1" applyFill="1" applyBorder="1" applyAlignment="1">
      <alignment horizontal="justify" vertical="center" wrapText="1"/>
      <protection/>
    </xf>
    <xf numFmtId="41" fontId="16" fillId="0" borderId="12" xfId="42" applyFont="1" applyBorder="1" applyAlignment="1">
      <alignment horizontal="right" vertical="center" wrapText="1"/>
    </xf>
    <xf numFmtId="49" fontId="16" fillId="0" borderId="12" xfId="66" applyNumberFormat="1" applyFont="1" applyFill="1" applyBorder="1" applyAlignment="1">
      <alignment horizontal="center" vertical="center"/>
      <protection/>
    </xf>
    <xf numFmtId="1" fontId="16" fillId="0" borderId="12" xfId="66" applyNumberFormat="1" applyFont="1" applyFill="1" applyBorder="1" applyAlignment="1">
      <alignment horizontal="justify" vertical="center" wrapText="1"/>
      <protection/>
    </xf>
    <xf numFmtId="0" fontId="16" fillId="0" borderId="12" xfId="0" applyFont="1" applyFill="1" applyBorder="1" applyAlignment="1">
      <alignment horizontal="center" vertical="center" wrapText="1"/>
    </xf>
    <xf numFmtId="173" fontId="16" fillId="0" borderId="12" xfId="0" applyNumberFormat="1" applyFont="1" applyFill="1" applyBorder="1" applyAlignment="1">
      <alignment horizontal="right" vertical="center" wrapText="1"/>
    </xf>
    <xf numFmtId="173" fontId="16" fillId="0" borderId="12" xfId="43" applyNumberFormat="1" applyFont="1" applyFill="1" applyBorder="1" applyAlignment="1">
      <alignment horizontal="right" vertical="center"/>
    </xf>
    <xf numFmtId="173" fontId="16" fillId="0" borderId="12" xfId="66" applyNumberFormat="1" applyFont="1" applyFill="1" applyBorder="1" applyAlignment="1">
      <alignment horizontal="right" vertical="center"/>
      <protection/>
    </xf>
    <xf numFmtId="0" fontId="16" fillId="0" borderId="0" xfId="0" applyFont="1" applyFill="1" applyAlignment="1">
      <alignment horizontal="center" vertical="center" wrapText="1"/>
    </xf>
    <xf numFmtId="41" fontId="16" fillId="0" borderId="12" xfId="42" applyFont="1" applyFill="1" applyBorder="1" applyAlignment="1">
      <alignment horizontal="right" vertical="center" wrapText="1"/>
    </xf>
    <xf numFmtId="49" fontId="16" fillId="0" borderId="12" xfId="0" applyNumberFormat="1" applyFont="1" applyFill="1" applyBorder="1" applyAlignment="1">
      <alignment horizontal="center" vertical="center" wrapText="1"/>
    </xf>
    <xf numFmtId="0" fontId="16" fillId="0" borderId="12" xfId="0" applyFont="1" applyFill="1" applyBorder="1" applyAlignment="1">
      <alignment vertical="center" wrapText="1"/>
    </xf>
    <xf numFmtId="173" fontId="16" fillId="0" borderId="12" xfId="44" applyNumberFormat="1" applyFont="1" applyFill="1" applyBorder="1" applyAlignment="1">
      <alignment horizontal="right" vertical="center"/>
    </xf>
    <xf numFmtId="173" fontId="16" fillId="0" borderId="12" xfId="0" applyNumberFormat="1" applyFont="1" applyFill="1" applyBorder="1" applyAlignment="1">
      <alignment horizontal="right" vertical="center"/>
    </xf>
    <xf numFmtId="173" fontId="16" fillId="0" borderId="12" xfId="46" applyNumberFormat="1" applyFont="1" applyFill="1" applyBorder="1" applyAlignment="1">
      <alignment horizontal="right" vertical="center" wrapText="1"/>
    </xf>
    <xf numFmtId="175" fontId="89" fillId="34" borderId="12" xfId="41" applyNumberFormat="1" applyFont="1" applyFill="1" applyBorder="1" applyAlignment="1">
      <alignment vertical="center" wrapText="1"/>
    </xf>
    <xf numFmtId="173" fontId="16" fillId="0" borderId="12" xfId="0" applyNumberFormat="1" applyFont="1" applyFill="1" applyBorder="1" applyAlignment="1">
      <alignment vertical="center" wrapText="1"/>
    </xf>
    <xf numFmtId="173" fontId="16" fillId="0" borderId="12" xfId="41" applyNumberFormat="1" applyFont="1" applyFill="1" applyBorder="1" applyAlignment="1">
      <alignment horizontal="right" vertical="center"/>
    </xf>
    <xf numFmtId="175" fontId="95"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left" vertical="center" wrapText="1"/>
    </xf>
    <xf numFmtId="175" fontId="94" fillId="34" borderId="12" xfId="41" applyNumberFormat="1" applyFont="1" applyFill="1" applyBorder="1" applyAlignment="1">
      <alignment vertical="center" wrapText="1"/>
    </xf>
    <xf numFmtId="0" fontId="23" fillId="0" borderId="11" xfId="0" applyFont="1" applyFill="1" applyBorder="1" applyAlignment="1">
      <alignment vertical="center" wrapText="1"/>
    </xf>
    <xf numFmtId="0" fontId="16" fillId="0" borderId="16" xfId="0" applyFont="1" applyFill="1" applyBorder="1" applyAlignment="1">
      <alignment horizontal="center" vertical="center"/>
    </xf>
    <xf numFmtId="0" fontId="16" fillId="0" borderId="16" xfId="0" applyFont="1" applyFill="1" applyBorder="1" applyAlignment="1">
      <alignment vertical="center" wrapText="1"/>
    </xf>
    <xf numFmtId="173" fontId="16" fillId="0" borderId="16" xfId="0" applyNumberFormat="1" applyFont="1" applyFill="1" applyBorder="1" applyAlignment="1">
      <alignment horizontal="right" vertical="center" wrapText="1"/>
    </xf>
    <xf numFmtId="175" fontId="16" fillId="0" borderId="12" xfId="44" applyNumberFormat="1" applyFont="1" applyFill="1" applyBorder="1" applyAlignment="1">
      <alignment horizontal="center" vertical="center" wrapText="1"/>
    </xf>
    <xf numFmtId="175" fontId="16" fillId="0" borderId="12" xfId="44" applyNumberFormat="1" applyFont="1" applyFill="1" applyBorder="1" applyAlignment="1" applyProtection="1">
      <alignment horizontal="center" vertical="center"/>
      <protection/>
    </xf>
    <xf numFmtId="175" fontId="16" fillId="0" borderId="12" xfId="44" applyNumberFormat="1" applyFont="1" applyFill="1" applyBorder="1" applyAlignment="1" applyProtection="1">
      <alignment vertical="center"/>
      <protection/>
    </xf>
    <xf numFmtId="175" fontId="89" fillId="0" borderId="12" xfId="44" applyNumberFormat="1" applyFont="1" applyFill="1" applyBorder="1" applyAlignment="1" applyProtection="1">
      <alignment vertical="center"/>
      <protection/>
    </xf>
    <xf numFmtId="0" fontId="23" fillId="0" borderId="16" xfId="0" applyFont="1" applyFill="1" applyBorder="1" applyAlignment="1">
      <alignment horizontal="center" vertical="center"/>
    </xf>
    <xf numFmtId="0" fontId="23" fillId="0" borderId="16" xfId="0" applyFont="1" applyFill="1" applyBorder="1" applyAlignment="1">
      <alignment vertical="center" wrapText="1"/>
    </xf>
    <xf numFmtId="173" fontId="23" fillId="0" borderId="16"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5" fontId="16" fillId="0" borderId="12" xfId="45" applyNumberFormat="1" applyFont="1" applyFill="1" applyBorder="1" applyAlignment="1" applyProtection="1">
      <alignment vertical="center"/>
      <protection/>
    </xf>
    <xf numFmtId="175" fontId="23" fillId="0" borderId="12" xfId="45" applyNumberFormat="1" applyFont="1" applyFill="1" applyBorder="1" applyAlignment="1" applyProtection="1">
      <alignment vertical="center"/>
      <protection/>
    </xf>
    <xf numFmtId="41" fontId="16" fillId="34" borderId="12" xfId="42" applyFont="1" applyFill="1" applyBorder="1" applyAlignment="1">
      <alignment horizontal="right" vertical="center" wrapText="1"/>
    </xf>
    <xf numFmtId="175" fontId="94" fillId="0" borderId="12" xfId="45" applyNumberFormat="1" applyFont="1" applyFill="1" applyBorder="1" applyAlignment="1">
      <alignment vertical="center" wrapText="1"/>
    </xf>
    <xf numFmtId="175" fontId="89" fillId="0" borderId="12" xfId="45" applyNumberFormat="1" applyFont="1" applyFill="1" applyBorder="1" applyAlignment="1">
      <alignment vertical="center" wrapText="1"/>
    </xf>
    <xf numFmtId="175" fontId="94" fillId="0" borderId="12" xfId="45" applyNumberFormat="1" applyFont="1" applyFill="1" applyBorder="1" applyAlignment="1" applyProtection="1">
      <alignment vertical="center"/>
      <protection/>
    </xf>
    <xf numFmtId="41" fontId="23" fillId="34" borderId="12" xfId="42" applyFont="1" applyFill="1" applyBorder="1" applyAlignment="1">
      <alignment horizontal="right" vertical="center" wrapText="1"/>
    </xf>
    <xf numFmtId="3" fontId="16" fillId="0" borderId="12" xfId="66" applyNumberFormat="1" applyFont="1" applyFill="1" applyBorder="1" applyAlignment="1">
      <alignment horizontal="center" vertical="center" wrapText="1"/>
      <protection/>
    </xf>
    <xf numFmtId="178" fontId="16" fillId="0" borderId="12" xfId="0" applyNumberFormat="1" applyFont="1" applyFill="1" applyBorder="1" applyAlignment="1">
      <alignment horizontal="center" vertical="center" wrapText="1"/>
    </xf>
    <xf numFmtId="1" fontId="16" fillId="0" borderId="0" xfId="66" applyNumberFormat="1" applyFont="1" applyFill="1" applyAlignment="1">
      <alignment horizontal="right" vertical="center"/>
      <protection/>
    </xf>
    <xf numFmtId="0" fontId="16"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49" fontId="16" fillId="0" borderId="12" xfId="66" applyNumberFormat="1" applyFont="1" applyFill="1" applyBorder="1" applyAlignment="1">
      <alignment horizontal="center" vertical="center" wrapText="1"/>
      <protection/>
    </xf>
    <xf numFmtId="0" fontId="16" fillId="0" borderId="16"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23" fillId="0" borderId="12" xfId="0" applyFont="1" applyFill="1" applyBorder="1" applyAlignment="1">
      <alignment horizontal="left" vertical="center" wrapText="1"/>
    </xf>
    <xf numFmtId="1" fontId="16" fillId="0" borderId="12" xfId="66" applyNumberFormat="1" applyFont="1" applyFill="1" applyBorder="1" applyAlignment="1">
      <alignment horizontal="left" vertical="center" wrapText="1"/>
      <protection/>
    </xf>
    <xf numFmtId="173" fontId="23" fillId="0" borderId="12" xfId="0" applyNumberFormat="1" applyFont="1" applyFill="1" applyBorder="1" applyAlignment="1">
      <alignment vertical="center"/>
    </xf>
    <xf numFmtId="1" fontId="23" fillId="0" borderId="12" xfId="66" applyNumberFormat="1" applyFont="1" applyFill="1" applyBorder="1" applyAlignment="1">
      <alignment horizontal="right" vertical="center"/>
      <protection/>
    </xf>
    <xf numFmtId="49" fontId="23" fillId="0" borderId="13" xfId="66" applyNumberFormat="1" applyFont="1" applyFill="1" applyBorder="1" applyAlignment="1">
      <alignment horizontal="center" vertical="center"/>
      <protection/>
    </xf>
    <xf numFmtId="0" fontId="23" fillId="0" borderId="13" xfId="0" applyFont="1" applyFill="1" applyBorder="1" applyAlignment="1">
      <alignment vertical="center" wrapText="1"/>
    </xf>
    <xf numFmtId="49" fontId="23" fillId="0" borderId="13" xfId="0" applyNumberFormat="1" applyFont="1" applyFill="1" applyBorder="1" applyAlignment="1">
      <alignment horizontal="center" vertical="center" wrapText="1"/>
    </xf>
    <xf numFmtId="173" fontId="23" fillId="0" borderId="13" xfId="0" applyNumberFormat="1" applyFont="1" applyFill="1" applyBorder="1" applyAlignment="1">
      <alignment horizontal="right" vertical="center" wrapText="1"/>
    </xf>
    <xf numFmtId="173" fontId="23" fillId="0" borderId="13" xfId="46" applyNumberFormat="1" applyFont="1" applyFill="1" applyBorder="1" applyAlignment="1">
      <alignment horizontal="right" vertical="center" wrapText="1"/>
    </xf>
    <xf numFmtId="175" fontId="96" fillId="0" borderId="12" xfId="45" applyNumberFormat="1" applyFont="1" applyFill="1" applyBorder="1" applyAlignment="1">
      <alignment vertical="center" wrapText="1"/>
    </xf>
    <xf numFmtId="0" fontId="38" fillId="0" borderId="16" xfId="0" applyFont="1" applyFill="1" applyBorder="1" applyAlignment="1">
      <alignment horizontal="center" vertical="center"/>
    </xf>
    <xf numFmtId="0" fontId="38" fillId="0" borderId="16" xfId="0" applyFont="1" applyFill="1" applyBorder="1" applyAlignment="1">
      <alignment vertical="center" wrapText="1"/>
    </xf>
    <xf numFmtId="173" fontId="38" fillId="0" borderId="16" xfId="0" applyNumberFormat="1" applyFont="1" applyFill="1" applyBorder="1" applyAlignment="1">
      <alignment horizontal="right" vertical="center" wrapText="1"/>
    </xf>
    <xf numFmtId="41" fontId="38" fillId="34" borderId="12" xfId="42" applyFont="1" applyFill="1" applyBorder="1" applyAlignment="1">
      <alignment horizontal="right" vertical="center" wrapText="1"/>
    </xf>
    <xf numFmtId="0" fontId="38" fillId="0" borderId="0" xfId="0" applyFont="1" applyFill="1" applyAlignment="1">
      <alignment vertic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left" vertical="center" wrapText="1"/>
    </xf>
    <xf numFmtId="175" fontId="96" fillId="0" borderId="12" xfId="45" applyNumberFormat="1" applyFont="1" applyFill="1" applyBorder="1" applyAlignment="1">
      <alignment vertical="center"/>
    </xf>
    <xf numFmtId="49" fontId="38" fillId="0" borderId="12" xfId="66" applyNumberFormat="1" applyFont="1" applyFill="1" applyBorder="1" applyAlignment="1">
      <alignment horizontal="center" vertical="center" wrapText="1"/>
      <protection/>
    </xf>
    <xf numFmtId="1" fontId="38" fillId="0" borderId="12" xfId="66" applyNumberFormat="1" applyFont="1" applyFill="1" applyBorder="1" applyAlignment="1">
      <alignment horizontal="left" vertical="center" wrapText="1"/>
      <protection/>
    </xf>
    <xf numFmtId="175" fontId="96" fillId="0" borderId="12" xfId="45" applyNumberFormat="1" applyFont="1" applyFill="1" applyBorder="1" applyAlignment="1" applyProtection="1">
      <alignment vertical="center" wrapText="1"/>
      <protection/>
    </xf>
    <xf numFmtId="0" fontId="38" fillId="0" borderId="12"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12" xfId="0" applyFont="1" applyFill="1" applyBorder="1" applyAlignment="1">
      <alignment vertical="center"/>
    </xf>
    <xf numFmtId="1" fontId="38" fillId="0" borderId="12" xfId="66" applyNumberFormat="1" applyFont="1" applyFill="1" applyBorder="1" applyAlignment="1">
      <alignment vertical="center"/>
      <protection/>
    </xf>
    <xf numFmtId="173" fontId="38" fillId="0" borderId="12" xfId="0" applyNumberFormat="1" applyFont="1" applyFill="1" applyBorder="1" applyAlignment="1">
      <alignment vertical="center"/>
    </xf>
    <xf numFmtId="1" fontId="38" fillId="0" borderId="12" xfId="66" applyNumberFormat="1" applyFont="1" applyFill="1" applyBorder="1" applyAlignment="1">
      <alignment horizontal="right" vertical="center"/>
      <protection/>
    </xf>
    <xf numFmtId="175" fontId="96" fillId="0" borderId="12" xfId="0" applyNumberFormat="1" applyFont="1" applyFill="1" applyBorder="1" applyAlignment="1">
      <alignment vertical="center"/>
    </xf>
    <xf numFmtId="3" fontId="96" fillId="0" borderId="12" xfId="46" applyNumberFormat="1" applyFont="1" applyFill="1" applyBorder="1" applyAlignment="1">
      <alignment horizontal="right" vertical="center" wrapText="1"/>
    </xf>
    <xf numFmtId="49" fontId="23" fillId="0" borderId="12" xfId="66" applyNumberFormat="1" applyFont="1" applyFill="1" applyBorder="1" applyAlignment="1">
      <alignment horizontal="center" vertical="center" wrapText="1"/>
      <protection/>
    </xf>
    <xf numFmtId="1" fontId="23" fillId="0" borderId="12" xfId="66" applyNumberFormat="1" applyFont="1" applyFill="1" applyBorder="1" applyAlignment="1">
      <alignment horizontal="left" vertical="center" wrapText="1"/>
      <protection/>
    </xf>
    <xf numFmtId="173" fontId="38" fillId="0" borderId="12" xfId="0" applyNumberFormat="1" applyFont="1" applyFill="1" applyBorder="1" applyAlignment="1">
      <alignment horizontal="right" vertical="center" wrapText="1"/>
    </xf>
    <xf numFmtId="178" fontId="38" fillId="0" borderId="12" xfId="0" applyNumberFormat="1" applyFont="1" applyFill="1" applyBorder="1" applyAlignment="1">
      <alignment horizontal="center" vertical="center" wrapText="1"/>
    </xf>
    <xf numFmtId="49" fontId="38" fillId="0" borderId="12" xfId="0" applyNumberFormat="1" applyFont="1" applyFill="1" applyBorder="1" applyAlignment="1">
      <alignment horizontal="center" vertical="center" wrapText="1"/>
    </xf>
    <xf numFmtId="173" fontId="38" fillId="0" borderId="12" xfId="0" applyNumberFormat="1" applyFont="1" applyFill="1" applyBorder="1" applyAlignment="1">
      <alignment vertical="center" wrapText="1"/>
    </xf>
    <xf numFmtId="173" fontId="38" fillId="0" borderId="12" xfId="66" applyNumberFormat="1" applyFont="1" applyFill="1" applyBorder="1" applyAlignment="1">
      <alignment horizontal="right" vertical="center"/>
      <protection/>
    </xf>
    <xf numFmtId="175" fontId="96" fillId="0" borderId="12" xfId="45" applyNumberFormat="1" applyFont="1" applyFill="1" applyBorder="1" applyAlignment="1" applyProtection="1">
      <alignment vertical="center"/>
      <protection/>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justify" vertical="center" wrapText="1"/>
    </xf>
    <xf numFmtId="3" fontId="16" fillId="0" borderId="16" xfId="0" applyNumberFormat="1" applyFont="1" applyFill="1" applyBorder="1" applyAlignment="1">
      <alignment horizontal="right" vertical="center" wrapText="1"/>
    </xf>
    <xf numFmtId="3" fontId="16" fillId="0" borderId="13" xfId="0" applyNumberFormat="1" applyFont="1" applyFill="1" applyBorder="1" applyAlignment="1">
      <alignment horizontal="right"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left" vertical="center" wrapText="1"/>
    </xf>
    <xf numFmtId="176" fontId="94" fillId="0" borderId="12" xfId="41" applyNumberFormat="1" applyFont="1" applyFill="1" applyBorder="1" applyAlignment="1">
      <alignment horizontal="right" vertical="center"/>
    </xf>
    <xf numFmtId="0" fontId="16" fillId="36" borderId="16" xfId="0" applyFont="1" applyFill="1" applyBorder="1" applyAlignment="1">
      <alignment horizontal="center" vertical="center"/>
    </xf>
    <xf numFmtId="0" fontId="16" fillId="36" borderId="16" xfId="0" applyFont="1" applyFill="1" applyBorder="1" applyAlignment="1">
      <alignment vertical="center" wrapText="1"/>
    </xf>
    <xf numFmtId="173" fontId="16" fillId="36" borderId="16" xfId="0" applyNumberFormat="1" applyFont="1" applyFill="1" applyBorder="1" applyAlignment="1">
      <alignment horizontal="right" vertical="center" wrapText="1"/>
    </xf>
    <xf numFmtId="3" fontId="16" fillId="36" borderId="12" xfId="0" applyNumberFormat="1" applyFont="1" applyFill="1" applyBorder="1" applyAlignment="1">
      <alignment horizontal="right" vertical="center" wrapText="1"/>
    </xf>
    <xf numFmtId="175" fontId="16" fillId="36" borderId="12" xfId="44" applyNumberFormat="1" applyFont="1" applyFill="1" applyBorder="1" applyAlignment="1">
      <alignment horizontal="center" vertical="center" wrapText="1"/>
    </xf>
    <xf numFmtId="3" fontId="85" fillId="0" borderId="10" xfId="0" applyNumberFormat="1" applyFont="1" applyBorder="1" applyAlignment="1">
      <alignment horizontal="right" vertical="center" wrapText="1"/>
    </xf>
    <xf numFmtId="3" fontId="85" fillId="0" borderId="10" xfId="41" applyNumberFormat="1" applyFont="1" applyBorder="1" applyAlignment="1">
      <alignment horizontal="right" vertical="center" wrapText="1"/>
    </xf>
    <xf numFmtId="3" fontId="82" fillId="0" borderId="10" xfId="0" applyNumberFormat="1" applyFont="1" applyBorder="1" applyAlignment="1">
      <alignment horizontal="right" vertical="center" wrapText="1"/>
    </xf>
    <xf numFmtId="175" fontId="2" fillId="0" borderId="16" xfId="47" applyNumberFormat="1" applyFont="1" applyFill="1" applyBorder="1" applyAlignment="1">
      <alignment vertical="center" wrapText="1"/>
    </xf>
    <xf numFmtId="3" fontId="97" fillId="0" borderId="16" xfId="62" applyNumberFormat="1" applyFont="1" applyFill="1" applyBorder="1" applyAlignment="1">
      <alignment vertical="center" wrapText="1"/>
      <protection/>
    </xf>
    <xf numFmtId="3" fontId="16" fillId="0" borderId="12" xfId="62" applyNumberFormat="1" applyFont="1" applyFill="1" applyBorder="1" applyAlignment="1">
      <alignment horizontal="center" vertical="center" wrapText="1"/>
      <protection/>
    </xf>
    <xf numFmtId="0" fontId="2" fillId="0" borderId="12" xfId="62" applyFont="1" applyFill="1" applyBorder="1" applyAlignment="1">
      <alignment vertical="center" wrapText="1"/>
      <protection/>
    </xf>
    <xf numFmtId="175" fontId="2" fillId="0" borderId="14" xfId="47" applyNumberFormat="1" applyFont="1" applyFill="1" applyBorder="1" applyAlignment="1">
      <alignment vertical="center" wrapText="1"/>
    </xf>
    <xf numFmtId="3" fontId="16" fillId="0" borderId="14" xfId="62" applyNumberFormat="1" applyFont="1" applyFill="1" applyBorder="1" applyAlignment="1">
      <alignment vertical="center" wrapText="1"/>
      <protection/>
    </xf>
    <xf numFmtId="175" fontId="2" fillId="0" borderId="13" xfId="47" applyNumberFormat="1" applyFont="1" applyFill="1" applyBorder="1" applyAlignment="1">
      <alignment vertical="center" wrapText="1"/>
    </xf>
    <xf numFmtId="3" fontId="16" fillId="0" borderId="13" xfId="62" applyNumberFormat="1" applyFont="1" applyFill="1" applyBorder="1" applyAlignment="1">
      <alignment vertical="center" wrapText="1"/>
      <protection/>
    </xf>
    <xf numFmtId="0" fontId="16" fillId="0" borderId="13" xfId="62" applyFont="1" applyBorder="1" applyAlignment="1">
      <alignment horizontal="center" vertical="center" wrapText="1"/>
      <protection/>
    </xf>
    <xf numFmtId="3" fontId="82" fillId="0" borderId="11" xfId="0" applyNumberFormat="1" applyFont="1" applyBorder="1" applyAlignment="1">
      <alignment horizontal="right" vertical="center" wrapText="1"/>
    </xf>
    <xf numFmtId="3" fontId="85" fillId="0" borderId="12" xfId="0" applyNumberFormat="1" applyFont="1" applyBorder="1" applyAlignment="1">
      <alignment horizontal="right" vertical="center" wrapText="1"/>
    </xf>
    <xf numFmtId="3" fontId="85" fillId="0" borderId="12" xfId="0" applyNumberFormat="1" applyFont="1" applyFill="1" applyBorder="1" applyAlignment="1">
      <alignment horizontal="right" vertical="center" wrapText="1"/>
    </xf>
    <xf numFmtId="3" fontId="85" fillId="0" borderId="13" xfId="0" applyNumberFormat="1" applyFont="1" applyBorder="1" applyAlignment="1">
      <alignment horizontal="right" vertical="center" wrapText="1"/>
    </xf>
    <xf numFmtId="49" fontId="38" fillId="0" borderId="12" xfId="66" applyNumberFormat="1" applyFont="1" applyFill="1" applyBorder="1" applyAlignment="1">
      <alignment horizontal="center" vertical="center"/>
      <protection/>
    </xf>
    <xf numFmtId="1" fontId="38" fillId="0" borderId="12" xfId="66" applyNumberFormat="1" applyFont="1" applyFill="1" applyBorder="1" applyAlignment="1">
      <alignment horizontal="justify" vertical="center" wrapText="1"/>
      <protection/>
    </xf>
    <xf numFmtId="173" fontId="23" fillId="0" borderId="12" xfId="66" applyNumberFormat="1" applyFont="1" applyFill="1" applyBorder="1" applyAlignment="1">
      <alignment horizontal="right" vertical="center"/>
      <protection/>
    </xf>
    <xf numFmtId="173" fontId="16" fillId="0" borderId="16" xfId="62" applyNumberFormat="1" applyFont="1" applyFill="1" applyBorder="1" applyAlignment="1">
      <alignment vertical="center" wrapText="1"/>
      <protection/>
    </xf>
    <xf numFmtId="173" fontId="6" fillId="0" borderId="0" xfId="0" applyNumberFormat="1" applyFont="1" applyAlignment="1">
      <alignment/>
    </xf>
    <xf numFmtId="0" fontId="5" fillId="0" borderId="0" xfId="0" applyFont="1" applyAlignment="1">
      <alignment horizontal="left" vertical="center" wrapText="1"/>
    </xf>
    <xf numFmtId="0" fontId="23" fillId="34" borderId="10" xfId="0" applyFont="1" applyFill="1" applyBorder="1" applyAlignment="1">
      <alignment horizontal="center" vertical="center"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left" vertical="center" wrapText="1"/>
    </xf>
    <xf numFmtId="0" fontId="4" fillId="0" borderId="0" xfId="0" applyFont="1" applyAlignment="1">
      <alignment horizontal="right" vertical="center" wrapText="1"/>
    </xf>
    <xf numFmtId="0" fontId="30" fillId="0" borderId="15" xfId="0" applyFont="1" applyBorder="1" applyAlignment="1">
      <alignment horizontal="center" vertical="center" wrapText="1"/>
    </xf>
    <xf numFmtId="0" fontId="30" fillId="0" borderId="0" xfId="0" applyFont="1" applyAlignment="1">
      <alignment horizontal="center" vertical="center" wrapText="1"/>
    </xf>
    <xf numFmtId="0" fontId="4" fillId="34" borderId="10" xfId="0" applyFont="1" applyFill="1" applyBorder="1" applyAlignment="1">
      <alignment horizontal="center" vertical="center" wrapText="1"/>
    </xf>
    <xf numFmtId="0" fontId="5" fillId="0" borderId="15" xfId="0" applyFont="1" applyBorder="1" applyAlignment="1">
      <alignment horizontal="center" vertical="center" wrapText="1"/>
    </xf>
    <xf numFmtId="0" fontId="8" fillId="0" borderId="0" xfId="0" applyFont="1" applyAlignment="1">
      <alignment horizontal="left" vertical="center" wrapText="1"/>
    </xf>
    <xf numFmtId="0" fontId="5" fillId="0" borderId="0" xfId="0" applyFont="1" applyBorder="1" applyAlignment="1">
      <alignment horizontal="center" vertical="center" wrapText="1"/>
    </xf>
    <xf numFmtId="0" fontId="13" fillId="0" borderId="0" xfId="0" applyFont="1" applyAlignment="1">
      <alignment horizontal="left"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3" fillId="0" borderId="15" xfId="0" applyFont="1" applyBorder="1" applyAlignment="1">
      <alignment horizontal="center" vertical="center"/>
    </xf>
    <xf numFmtId="0" fontId="31" fillId="0" borderId="0" xfId="0" applyFont="1" applyAlignment="1">
      <alignment horizontal="center" vertical="center" wrapText="1"/>
    </xf>
    <xf numFmtId="0" fontId="25" fillId="0" borderId="15" xfId="0" applyFont="1" applyBorder="1" applyAlignment="1">
      <alignment horizontal="center"/>
    </xf>
    <xf numFmtId="0" fontId="18" fillId="0" borderId="10" xfId="0" applyFont="1" applyBorder="1" applyAlignment="1">
      <alignment horizontal="center" vertical="center" wrapText="1"/>
    </xf>
    <xf numFmtId="0" fontId="4" fillId="34" borderId="10" xfId="0" applyNumberFormat="1" applyFont="1" applyFill="1" applyBorder="1" applyAlignment="1">
      <alignment horizontal="center" vertical="center" wrapText="1"/>
    </xf>
    <xf numFmtId="0" fontId="18" fillId="0" borderId="0" xfId="0" applyFont="1" applyAlignment="1">
      <alignment horizontal="center"/>
    </xf>
    <xf numFmtId="0" fontId="5" fillId="0" borderId="0" xfId="0" applyFont="1" applyAlignment="1">
      <alignment horizontal="center" vertical="center" wrapText="1"/>
    </xf>
    <xf numFmtId="0" fontId="12" fillId="0" borderId="0" xfId="0" applyFont="1" applyAlignment="1">
      <alignment horizontal="center" vertical="center"/>
    </xf>
    <xf numFmtId="0" fontId="82" fillId="0" borderId="10" xfId="0" applyFont="1" applyBorder="1" applyAlignment="1">
      <alignment horizontal="center" vertical="center" wrapText="1"/>
    </xf>
    <xf numFmtId="0" fontId="82" fillId="0" borderId="0" xfId="0" applyFont="1" applyAlignment="1">
      <alignment horizontal="center" vertical="center" wrapText="1"/>
    </xf>
    <xf numFmtId="0" fontId="83" fillId="0" borderId="0" xfId="0" applyFont="1" applyAlignment="1">
      <alignment horizontal="center" vertical="center"/>
    </xf>
    <xf numFmtId="0" fontId="82" fillId="0" borderId="0" xfId="0" applyFont="1" applyAlignment="1">
      <alignment horizontal="center" vertical="center"/>
    </xf>
    <xf numFmtId="0" fontId="23" fillId="0" borderId="10" xfId="62" applyFont="1" applyBorder="1" applyAlignment="1">
      <alignment horizontal="center" vertical="center" wrapText="1"/>
      <protection/>
    </xf>
    <xf numFmtId="0" fontId="30" fillId="0" borderId="0" xfId="62" applyFont="1" applyAlignment="1">
      <alignment horizontal="center" vertical="center"/>
      <protection/>
    </xf>
    <xf numFmtId="0" fontId="23" fillId="0" borderId="0" xfId="62" applyFont="1" applyAlignment="1">
      <alignment horizontal="center" vertical="center"/>
      <protection/>
    </xf>
    <xf numFmtId="0" fontId="18" fillId="0" borderId="0" xfId="0" applyFont="1" applyAlignment="1">
      <alignment horizontal="right"/>
    </xf>
    <xf numFmtId="0" fontId="18" fillId="0" borderId="0" xfId="0" applyFont="1" applyAlignment="1">
      <alignment horizontal="center" vertical="center"/>
    </xf>
    <xf numFmtId="0" fontId="25" fillId="0" borderId="15" xfId="0" applyFont="1" applyBorder="1" applyAlignment="1">
      <alignment horizontal="center" vertical="center"/>
    </xf>
    <xf numFmtId="0" fontId="90" fillId="0" borderId="17"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23" xfId="0" applyFont="1" applyBorder="1" applyAlignment="1">
      <alignment horizontal="center" vertical="center" wrapText="1"/>
    </xf>
    <xf numFmtId="0" fontId="90" fillId="0" borderId="0" xfId="0" applyFont="1" applyAlignment="1">
      <alignment horizontal="center"/>
    </xf>
    <xf numFmtId="0" fontId="86" fillId="0" borderId="0" xfId="0" applyFont="1" applyAlignment="1">
      <alignment horizontal="center"/>
    </xf>
    <xf numFmtId="0" fontId="98" fillId="0" borderId="0" xfId="0" applyFont="1" applyBorder="1" applyAlignment="1">
      <alignment horizontal="left" vertical="center" wrapText="1"/>
    </xf>
    <xf numFmtId="1" fontId="23" fillId="0" borderId="10" xfId="0" applyNumberFormat="1" applyFont="1" applyFill="1" applyBorder="1" applyAlignment="1">
      <alignment horizontal="center" vertical="center" wrapText="1"/>
    </xf>
    <xf numFmtId="1" fontId="38" fillId="0" borderId="0" xfId="66" applyNumberFormat="1" applyFont="1" applyFill="1" applyAlignment="1">
      <alignment horizontal="right" vertical="center"/>
      <protection/>
    </xf>
    <xf numFmtId="1" fontId="3" fillId="0" borderId="0" xfId="66" applyNumberFormat="1" applyFont="1" applyFill="1" applyAlignment="1">
      <alignment horizontal="center" vertical="center" wrapText="1"/>
      <protection/>
    </xf>
    <xf numFmtId="1" fontId="22" fillId="0" borderId="0" xfId="66" applyNumberFormat="1" applyFont="1" applyFill="1" applyAlignment="1">
      <alignment horizontal="center" vertical="center" wrapText="1"/>
      <protection/>
    </xf>
    <xf numFmtId="0" fontId="23" fillId="0" borderId="10" xfId="0" applyFont="1" applyFill="1" applyBorder="1" applyAlignment="1">
      <alignment horizontal="center" vertical="center"/>
    </xf>
    <xf numFmtId="3" fontId="23" fillId="0" borderId="10" xfId="66" applyNumberFormat="1"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1" fontId="30" fillId="0" borderId="15" xfId="66" applyNumberFormat="1" applyFont="1" applyFill="1" applyBorder="1" applyAlignment="1">
      <alignment horizontal="righ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xfId="43"/>
    <cellStyle name="Comma 11" xfId="44"/>
    <cellStyle name="Comma 11 2" xfId="45"/>
    <cellStyle name="Comma 13 5" xfId="46"/>
    <cellStyle name="Comma 2" xfId="47"/>
    <cellStyle name="Comma 3 2" xfId="48"/>
    <cellStyle name="Currency" xfId="49"/>
    <cellStyle name="Currency [0]" xfId="50"/>
    <cellStyle name="Check Cell"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9" xfId="65"/>
    <cellStyle name="Normal_Bieu mau (CV )"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H&#7857;ng%20BI&#7874;U%20D&#7920;%20TO&#193;N%20N&#272;31%20Bi&#7875;u%20k&#232;m%20N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
      <sheetName val="16"/>
      <sheetName val="17"/>
      <sheetName val="30"/>
      <sheetName val="Biểu 31 xã"/>
      <sheetName val="Biểu 32 xã"/>
      <sheetName val="33"/>
      <sheetName val="34"/>
      <sheetName val="Biểu 35 huyện"/>
      <sheetName val="Biểu 35 xã"/>
      <sheetName val="36"/>
      <sheetName val="Biểu 37 huyện"/>
      <sheetName val="Biểu 37 xã"/>
      <sheetName val="Biểu 39 xã"/>
      <sheetName val="Biểu 40"/>
      <sheetName val="38"/>
      <sheetName val="Biểu 41xã"/>
      <sheetName val="Biểu 42 xã"/>
      <sheetName val="Biểu 44 xã"/>
      <sheetName val="Biểu 45 xã"/>
      <sheetName val="Biểu 46 "/>
    </sheetNames>
    <sheetDataSet>
      <sheetData sheetId="8">
        <row r="3">
          <cell r="A3" t="str">
            <v>(Kèm theo Nghị quyết số       /NQ-HĐND ngày        tháng 12 năm 2022 của HĐND huyện)</v>
          </cell>
        </row>
      </sheetData>
      <sheetData sheetId="13">
        <row r="4">
          <cell r="A4" t="str">
            <v>(Kèm theo Nghị quyết số       /NQ-HĐND ngày        tháng 12 năm 2022 của HĐND huyện)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54"/>
  <sheetViews>
    <sheetView tabSelected="1" zoomScalePageLayoutView="0" workbookViewId="0" topLeftCell="A7">
      <selection activeCell="E21" sqref="E21"/>
    </sheetView>
  </sheetViews>
  <sheetFormatPr defaultColWidth="9.125" defaultRowHeight="14.25"/>
  <cols>
    <col min="1" max="1" width="5.875" style="1" customWidth="1"/>
    <col min="2" max="2" width="39.50390625" style="1" customWidth="1"/>
    <col min="3" max="3" width="8.25390625" style="1" customWidth="1"/>
    <col min="4" max="4" width="9.125" style="1" customWidth="1"/>
    <col min="5" max="6" width="8.00390625" style="1" customWidth="1"/>
    <col min="7" max="7" width="6.50390625" style="1" customWidth="1"/>
    <col min="8" max="16384" width="9.125" style="1" customWidth="1"/>
  </cols>
  <sheetData>
    <row r="1" spans="1:7" ht="15" customHeight="1">
      <c r="A1" s="471"/>
      <c r="B1" s="471"/>
      <c r="C1" s="58"/>
      <c r="D1" s="58"/>
      <c r="E1" s="472" t="s">
        <v>193</v>
      </c>
      <c r="F1" s="472"/>
      <c r="G1" s="472"/>
    </row>
    <row r="2" spans="1:7" ht="18.75">
      <c r="A2" s="470" t="s">
        <v>375</v>
      </c>
      <c r="B2" s="470"/>
      <c r="C2" s="470"/>
      <c r="D2" s="470"/>
      <c r="E2" s="470"/>
      <c r="F2" s="470"/>
      <c r="G2" s="470"/>
    </row>
    <row r="3" spans="1:7" ht="33.75" customHeight="1">
      <c r="A3" s="474" t="s">
        <v>569</v>
      </c>
      <c r="B3" s="474"/>
      <c r="C3" s="474"/>
      <c r="D3" s="474"/>
      <c r="E3" s="474"/>
      <c r="F3" s="474"/>
      <c r="G3" s="474"/>
    </row>
    <row r="4" spans="1:7" ht="18.75" customHeight="1">
      <c r="A4" s="469" t="s">
        <v>348</v>
      </c>
      <c r="B4" s="469"/>
      <c r="C4" s="469"/>
      <c r="D4" s="469"/>
      <c r="E4" s="469"/>
      <c r="F4" s="469"/>
      <c r="G4" s="469"/>
    </row>
    <row r="5" spans="5:7" ht="15" customHeight="1">
      <c r="E5" s="473" t="s">
        <v>9</v>
      </c>
      <c r="F5" s="473"/>
      <c r="G5" s="473"/>
    </row>
    <row r="6" spans="1:7" s="103" customFormat="1" ht="15.75">
      <c r="A6" s="468" t="s">
        <v>4</v>
      </c>
      <c r="B6" s="468" t="s">
        <v>39</v>
      </c>
      <c r="C6" s="468" t="s">
        <v>298</v>
      </c>
      <c r="D6" s="468" t="s">
        <v>372</v>
      </c>
      <c r="E6" s="468" t="s">
        <v>373</v>
      </c>
      <c r="F6" s="468" t="s">
        <v>92</v>
      </c>
      <c r="G6" s="468"/>
    </row>
    <row r="7" spans="1:7" s="103" customFormat="1" ht="51.75" customHeight="1">
      <c r="A7" s="468"/>
      <c r="B7" s="468"/>
      <c r="C7" s="468"/>
      <c r="D7" s="468"/>
      <c r="E7" s="468"/>
      <c r="F7" s="89" t="s">
        <v>29</v>
      </c>
      <c r="G7" s="89" t="s">
        <v>93</v>
      </c>
    </row>
    <row r="8" spans="1:7" s="103" customFormat="1" ht="15.75">
      <c r="A8" s="89" t="s">
        <v>6</v>
      </c>
      <c r="B8" s="89" t="s">
        <v>7</v>
      </c>
      <c r="C8" s="89">
        <v>1</v>
      </c>
      <c r="D8" s="89">
        <v>2</v>
      </c>
      <c r="E8" s="89">
        <v>3</v>
      </c>
      <c r="F8" s="89">
        <v>4</v>
      </c>
      <c r="G8" s="89">
        <v>5</v>
      </c>
    </row>
    <row r="9" spans="1:8" s="37" customFormat="1" ht="15.75">
      <c r="A9" s="104" t="s">
        <v>6</v>
      </c>
      <c r="B9" s="105" t="s">
        <v>94</v>
      </c>
      <c r="C9" s="98">
        <f>C10+C13+C16+C17+C18</f>
        <v>326123</v>
      </c>
      <c r="D9" s="98">
        <f>D10+D13+D16+D17+D18</f>
        <v>483372.449</v>
      </c>
      <c r="E9" s="98">
        <f>E10+E13+E16+E17+E18</f>
        <v>514920</v>
      </c>
      <c r="F9" s="98">
        <f>E9-D9</f>
        <v>31547.550999999978</v>
      </c>
      <c r="G9" s="134">
        <f>E9/D9</f>
        <v>1.0652655133019382</v>
      </c>
      <c r="H9" s="137"/>
    </row>
    <row r="10" spans="1:9" s="37" customFormat="1" ht="15.75">
      <c r="A10" s="106" t="s">
        <v>15</v>
      </c>
      <c r="B10" s="107" t="s">
        <v>30</v>
      </c>
      <c r="C10" s="99">
        <f>SUM(C11:C12)</f>
        <v>13763</v>
      </c>
      <c r="D10" s="99">
        <f>SUM(D11:D12)</f>
        <v>13688</v>
      </c>
      <c r="E10" s="99">
        <f>SUM(E11:E12)</f>
        <v>14390</v>
      </c>
      <c r="F10" s="99">
        <f>SUM(F11:F12)</f>
        <v>14390</v>
      </c>
      <c r="G10" s="135">
        <f aca="true" t="shared" si="0" ref="G10:G27">E10/D10</f>
        <v>1.0512857977790766</v>
      </c>
      <c r="I10" s="137"/>
    </row>
    <row r="11" spans="1:7" ht="15.75">
      <c r="A11" s="108" t="s">
        <v>8</v>
      </c>
      <c r="B11" s="109" t="s">
        <v>56</v>
      </c>
      <c r="C11" s="86">
        <v>3483</v>
      </c>
      <c r="D11" s="86">
        <v>2418</v>
      </c>
      <c r="E11" s="86">
        <v>2543</v>
      </c>
      <c r="F11" s="86">
        <f>E11</f>
        <v>2543</v>
      </c>
      <c r="G11" s="136">
        <f>E11/D11</f>
        <v>1.0516956162117452</v>
      </c>
    </row>
    <row r="12" spans="1:7" ht="15.75">
      <c r="A12" s="108" t="s">
        <v>8</v>
      </c>
      <c r="B12" s="109" t="s">
        <v>57</v>
      </c>
      <c r="C12" s="86">
        <v>10280</v>
      </c>
      <c r="D12" s="86">
        <v>11270</v>
      </c>
      <c r="E12" s="86">
        <v>11847</v>
      </c>
      <c r="F12" s="86">
        <f>E12</f>
        <v>11847</v>
      </c>
      <c r="G12" s="136">
        <f t="shared" si="0"/>
        <v>1.0511978704525289</v>
      </c>
    </row>
    <row r="13" spans="1:8" s="37" customFormat="1" ht="15.75">
      <c r="A13" s="106" t="s">
        <v>11</v>
      </c>
      <c r="B13" s="107" t="s">
        <v>47</v>
      </c>
      <c r="C13" s="99">
        <f>SUM(C14:C15)</f>
        <v>312360</v>
      </c>
      <c r="D13" s="99">
        <f>SUM(D14:D15)</f>
        <v>451024.398</v>
      </c>
      <c r="E13" s="99">
        <f>SUM(E14:E15)</f>
        <v>493304</v>
      </c>
      <c r="F13" s="99">
        <f>E13-D13</f>
        <v>42279.60200000001</v>
      </c>
      <c r="G13" s="135">
        <f t="shared" si="0"/>
        <v>1.0937412747236792</v>
      </c>
      <c r="H13" s="137"/>
    </row>
    <row r="14" spans="1:9" ht="15.75">
      <c r="A14" s="108">
        <v>1</v>
      </c>
      <c r="B14" s="109" t="s">
        <v>31</v>
      </c>
      <c r="C14" s="86">
        <v>311360</v>
      </c>
      <c r="D14" s="86">
        <v>314160</v>
      </c>
      <c r="E14" s="86">
        <v>302624</v>
      </c>
      <c r="F14" s="86">
        <f>E14-D14</f>
        <v>-11536</v>
      </c>
      <c r="G14" s="136">
        <f t="shared" si="0"/>
        <v>0.9632798573975044</v>
      </c>
      <c r="I14" s="77"/>
    </row>
    <row r="15" spans="1:7" ht="15.75">
      <c r="A15" s="108">
        <v>2</v>
      </c>
      <c r="B15" s="109" t="s">
        <v>16</v>
      </c>
      <c r="C15" s="86">
        <v>1000</v>
      </c>
      <c r="D15" s="86">
        <f>147695.398+2013+206-13050</f>
        <v>136864.398</v>
      </c>
      <c r="E15" s="86">
        <v>190680</v>
      </c>
      <c r="F15" s="86">
        <f>E15-D15</f>
        <v>53815.60200000001</v>
      </c>
      <c r="G15" s="136">
        <f>E15/D15</f>
        <v>1.3932038045423618</v>
      </c>
    </row>
    <row r="16" spans="1:7" s="37" customFormat="1" ht="15.75">
      <c r="A16" s="106" t="s">
        <v>12</v>
      </c>
      <c r="B16" s="107" t="s">
        <v>32</v>
      </c>
      <c r="C16" s="99"/>
      <c r="D16" s="99"/>
      <c r="E16" s="99"/>
      <c r="F16" s="99"/>
      <c r="G16" s="135"/>
    </row>
    <row r="17" spans="1:7" s="37" customFormat="1" ht="15.75">
      <c r="A17" s="106" t="s">
        <v>13</v>
      </c>
      <c r="B17" s="107" t="s">
        <v>48</v>
      </c>
      <c r="C17" s="99"/>
      <c r="D17" s="99">
        <v>317.351</v>
      </c>
      <c r="E17" s="99"/>
      <c r="F17" s="99"/>
      <c r="G17" s="135"/>
    </row>
    <row r="18" spans="1:7" s="37" customFormat="1" ht="15.75">
      <c r="A18" s="106" t="s">
        <v>24</v>
      </c>
      <c r="B18" s="107" t="s">
        <v>95</v>
      </c>
      <c r="C18" s="99"/>
      <c r="D18" s="99">
        <v>18342.7</v>
      </c>
      <c r="E18" s="99">
        <v>7226</v>
      </c>
      <c r="F18" s="99"/>
      <c r="G18" s="135"/>
    </row>
    <row r="19" spans="1:10" s="37" customFormat="1" ht="15.75">
      <c r="A19" s="106" t="s">
        <v>7</v>
      </c>
      <c r="B19" s="107" t="s">
        <v>189</v>
      </c>
      <c r="C19" s="99">
        <f>C20+C27+C31</f>
        <v>325373</v>
      </c>
      <c r="D19" s="99">
        <f>D20+D27+D31</f>
        <v>483372</v>
      </c>
      <c r="E19" s="99">
        <f>E20+E27+E31</f>
        <v>514920</v>
      </c>
      <c r="F19" s="99">
        <f>E19-D19</f>
        <v>31548</v>
      </c>
      <c r="G19" s="135">
        <f t="shared" si="0"/>
        <v>1.0652665028177055</v>
      </c>
      <c r="H19" s="137"/>
      <c r="J19" s="137"/>
    </row>
    <row r="20" spans="1:8" s="37" customFormat="1" ht="15.75">
      <c r="A20" s="106" t="s">
        <v>15</v>
      </c>
      <c r="B20" s="107" t="s">
        <v>58</v>
      </c>
      <c r="C20" s="99">
        <f>SUM(C21:C26)</f>
        <v>325373</v>
      </c>
      <c r="D20" s="99">
        <f>SUM(D21:D26)</f>
        <v>336778</v>
      </c>
      <c r="E20" s="99">
        <f>SUM(E21:E26)</f>
        <v>324240</v>
      </c>
      <c r="F20" s="99">
        <f>E20-D20</f>
        <v>-12538</v>
      </c>
      <c r="G20" s="135">
        <f t="shared" si="0"/>
        <v>0.96277072730404</v>
      </c>
      <c r="H20" s="137"/>
    </row>
    <row r="21" spans="1:7" ht="15.75">
      <c r="A21" s="108">
        <v>1</v>
      </c>
      <c r="B21" s="109" t="s">
        <v>96</v>
      </c>
      <c r="C21" s="86">
        <f>10115+50000+250</f>
        <v>60365</v>
      </c>
      <c r="D21" s="86">
        <f>64215-1000</f>
        <v>63215</v>
      </c>
      <c r="E21" s="86">
        <f>14196+1917</f>
        <v>16113</v>
      </c>
      <c r="F21" s="86">
        <f>E21-D21</f>
        <v>-47102</v>
      </c>
      <c r="G21" s="136">
        <f t="shared" si="0"/>
        <v>0.25489203511824726</v>
      </c>
    </row>
    <row r="22" spans="1:8" ht="15.75">
      <c r="A22" s="108">
        <v>2</v>
      </c>
      <c r="B22" s="109" t="s">
        <v>20</v>
      </c>
      <c r="C22" s="86">
        <f>308645-50000</f>
        <v>258645</v>
      </c>
      <c r="D22" s="86">
        <f>280250-13050</f>
        <v>267200</v>
      </c>
      <c r="E22" s="86">
        <f>294581+7226</f>
        <v>301807</v>
      </c>
      <c r="F22" s="86">
        <f>E22-D22</f>
        <v>34607</v>
      </c>
      <c r="G22" s="136">
        <f t="shared" si="0"/>
        <v>1.1295172155688622</v>
      </c>
      <c r="H22" s="77"/>
    </row>
    <row r="23" spans="1:7" ht="31.5">
      <c r="A23" s="108">
        <v>3</v>
      </c>
      <c r="B23" s="109" t="s">
        <v>97</v>
      </c>
      <c r="C23" s="86"/>
      <c r="D23" s="86"/>
      <c r="E23" s="86"/>
      <c r="F23" s="86"/>
      <c r="G23" s="135"/>
    </row>
    <row r="24" spans="1:7" ht="15.75">
      <c r="A24" s="108">
        <v>4</v>
      </c>
      <c r="B24" s="109" t="s">
        <v>98</v>
      </c>
      <c r="C24" s="86"/>
      <c r="D24" s="86"/>
      <c r="E24" s="86"/>
      <c r="F24" s="86"/>
      <c r="G24" s="135"/>
    </row>
    <row r="25" spans="1:7" ht="15.75">
      <c r="A25" s="108">
        <v>5</v>
      </c>
      <c r="B25" s="109" t="s">
        <v>34</v>
      </c>
      <c r="C25" s="86">
        <v>6363</v>
      </c>
      <c r="D25" s="86">
        <v>6363</v>
      </c>
      <c r="E25" s="86">
        <v>6320</v>
      </c>
      <c r="F25" s="86">
        <f>E25-D25</f>
        <v>-43</v>
      </c>
      <c r="G25" s="136">
        <f t="shared" si="0"/>
        <v>0.9932421813609933</v>
      </c>
    </row>
    <row r="26" spans="1:7" ht="15.75">
      <c r="A26" s="108">
        <v>6</v>
      </c>
      <c r="B26" s="109" t="s">
        <v>21</v>
      </c>
      <c r="C26" s="86"/>
      <c r="D26" s="86"/>
      <c r="E26" s="86"/>
      <c r="F26" s="86"/>
      <c r="G26" s="135"/>
    </row>
    <row r="27" spans="1:7" s="37" customFormat="1" ht="15.75">
      <c r="A27" s="106" t="s">
        <v>11</v>
      </c>
      <c r="B27" s="107" t="s">
        <v>99</v>
      </c>
      <c r="C27" s="99">
        <f>SUM(C28:C29)</f>
        <v>0</v>
      </c>
      <c r="D27" s="99">
        <f>SUM(D28:D30)</f>
        <v>146594</v>
      </c>
      <c r="E27" s="99">
        <f>SUM(E28:E30)</f>
        <v>190680</v>
      </c>
      <c r="F27" s="99">
        <f>E27-D27</f>
        <v>44086</v>
      </c>
      <c r="G27" s="135">
        <f t="shared" si="0"/>
        <v>1.3007353643396047</v>
      </c>
    </row>
    <row r="28" spans="1:7" ht="15.75">
      <c r="A28" s="108">
        <v>1</v>
      </c>
      <c r="B28" s="109" t="s">
        <v>35</v>
      </c>
      <c r="C28" s="86"/>
      <c r="D28" s="86">
        <v>145594</v>
      </c>
      <c r="E28" s="86">
        <f>E15</f>
        <v>190680</v>
      </c>
      <c r="F28" s="86"/>
      <c r="G28" s="135"/>
    </row>
    <row r="29" spans="1:7" ht="15.75">
      <c r="A29" s="108">
        <v>2</v>
      </c>
      <c r="B29" s="109" t="s">
        <v>194</v>
      </c>
      <c r="C29" s="86"/>
      <c r="D29" s="86"/>
      <c r="E29" s="86"/>
      <c r="F29" s="86"/>
      <c r="G29" s="135"/>
    </row>
    <row r="30" spans="1:7" ht="15.75">
      <c r="A30" s="108">
        <v>3</v>
      </c>
      <c r="B30" s="109" t="s">
        <v>296</v>
      </c>
      <c r="C30" s="86">
        <v>1000</v>
      </c>
      <c r="D30" s="86">
        <v>1000</v>
      </c>
      <c r="E30" s="86"/>
      <c r="F30" s="86"/>
      <c r="G30" s="135"/>
    </row>
    <row r="31" spans="1:7" s="37" customFormat="1" ht="15.75">
      <c r="A31" s="106" t="s">
        <v>12</v>
      </c>
      <c r="B31" s="107" t="s">
        <v>100</v>
      </c>
      <c r="C31" s="99"/>
      <c r="D31" s="99"/>
      <c r="E31" s="99"/>
      <c r="F31" s="99"/>
      <c r="G31" s="100"/>
    </row>
    <row r="32" spans="1:7" s="37" customFormat="1" ht="15.75">
      <c r="A32" s="106" t="s">
        <v>14</v>
      </c>
      <c r="B32" s="107" t="s">
        <v>101</v>
      </c>
      <c r="C32" s="99"/>
      <c r="D32" s="99"/>
      <c r="E32" s="99"/>
      <c r="F32" s="99"/>
      <c r="G32" s="100"/>
    </row>
    <row r="33" spans="1:7" s="37" customFormat="1" ht="15.75">
      <c r="A33" s="106" t="s">
        <v>17</v>
      </c>
      <c r="B33" s="107" t="s">
        <v>102</v>
      </c>
      <c r="C33" s="99"/>
      <c r="D33" s="99"/>
      <c r="E33" s="99"/>
      <c r="F33" s="99"/>
      <c r="G33" s="100"/>
    </row>
    <row r="34" spans="1:7" s="37" customFormat="1" ht="15.75">
      <c r="A34" s="106" t="s">
        <v>15</v>
      </c>
      <c r="B34" s="107" t="s">
        <v>23</v>
      </c>
      <c r="C34" s="99"/>
      <c r="D34" s="99"/>
      <c r="E34" s="99"/>
      <c r="F34" s="99"/>
      <c r="G34" s="100"/>
    </row>
    <row r="35" spans="1:7" s="37" customFormat="1" ht="31.5">
      <c r="A35" s="106" t="s">
        <v>11</v>
      </c>
      <c r="B35" s="107" t="s">
        <v>103</v>
      </c>
      <c r="C35" s="99"/>
      <c r="D35" s="99"/>
      <c r="E35" s="99"/>
      <c r="F35" s="99"/>
      <c r="G35" s="100"/>
    </row>
    <row r="36" spans="1:7" s="37" customFormat="1" ht="15.75">
      <c r="A36" s="106" t="s">
        <v>22</v>
      </c>
      <c r="B36" s="107" t="s">
        <v>104</v>
      </c>
      <c r="C36" s="99"/>
      <c r="D36" s="99"/>
      <c r="E36" s="99"/>
      <c r="F36" s="99"/>
      <c r="G36" s="100"/>
    </row>
    <row r="37" spans="1:7" s="37" customFormat="1" ht="15.75">
      <c r="A37" s="106" t="s">
        <v>15</v>
      </c>
      <c r="B37" s="107" t="s">
        <v>38</v>
      </c>
      <c r="C37" s="99"/>
      <c r="D37" s="99"/>
      <c r="E37" s="99"/>
      <c r="F37" s="99"/>
      <c r="G37" s="100"/>
    </row>
    <row r="38" spans="1:7" s="37" customFormat="1" ht="15.75">
      <c r="A38" s="110" t="s">
        <v>11</v>
      </c>
      <c r="B38" s="111" t="s">
        <v>105</v>
      </c>
      <c r="C38" s="101"/>
      <c r="D38" s="101"/>
      <c r="E38" s="101"/>
      <c r="F38" s="101"/>
      <c r="G38" s="102"/>
    </row>
    <row r="39" spans="1:7" s="37" customFormat="1" ht="14.25">
      <c r="A39" s="59"/>
      <c r="B39" s="60"/>
      <c r="C39" s="61"/>
      <c r="D39" s="61"/>
      <c r="E39" s="61"/>
      <c r="F39" s="61"/>
      <c r="G39" s="62"/>
    </row>
    <row r="40" spans="1:7" s="37" customFormat="1" ht="14.25">
      <c r="A40" s="59"/>
      <c r="B40" s="60"/>
      <c r="C40" s="61"/>
      <c r="D40" s="61"/>
      <c r="E40" s="61"/>
      <c r="F40" s="61"/>
      <c r="G40" s="62"/>
    </row>
    <row r="41" spans="1:7" s="37" customFormat="1" ht="14.25">
      <c r="A41" s="59"/>
      <c r="B41" s="60"/>
      <c r="C41" s="61"/>
      <c r="D41" s="61"/>
      <c r="E41" s="61"/>
      <c r="F41" s="61"/>
      <c r="G41" s="62"/>
    </row>
    <row r="42" spans="1:7" s="37" customFormat="1" ht="14.25">
      <c r="A42" s="59"/>
      <c r="B42" s="60"/>
      <c r="C42" s="61"/>
      <c r="D42" s="61"/>
      <c r="E42" s="61"/>
      <c r="F42" s="61"/>
      <c r="G42" s="62"/>
    </row>
    <row r="43" spans="1:7" s="37" customFormat="1" ht="14.25">
      <c r="A43" s="59"/>
      <c r="B43" s="60"/>
      <c r="C43" s="61"/>
      <c r="D43" s="61"/>
      <c r="E43" s="61"/>
      <c r="F43" s="61"/>
      <c r="G43" s="62"/>
    </row>
    <row r="44" spans="1:7" s="37" customFormat="1" ht="14.25">
      <c r="A44" s="59"/>
      <c r="B44" s="60"/>
      <c r="C44" s="61"/>
      <c r="D44" s="61"/>
      <c r="E44" s="61"/>
      <c r="F44" s="61"/>
      <c r="G44" s="62"/>
    </row>
    <row r="45" spans="1:7" s="37" customFormat="1" ht="14.25">
      <c r="A45" s="59"/>
      <c r="B45" s="60"/>
      <c r="C45" s="61"/>
      <c r="D45" s="61"/>
      <c r="E45" s="61"/>
      <c r="F45" s="61"/>
      <c r="G45" s="62"/>
    </row>
    <row r="46" spans="1:7" s="37" customFormat="1" ht="14.25">
      <c r="A46" s="59"/>
      <c r="B46" s="60"/>
      <c r="C46" s="61"/>
      <c r="D46" s="61"/>
      <c r="E46" s="61"/>
      <c r="F46" s="61"/>
      <c r="G46" s="62"/>
    </row>
    <row r="47" spans="1:7" s="37" customFormat="1" ht="14.25">
      <c r="A47" s="59"/>
      <c r="B47" s="60"/>
      <c r="C47" s="61"/>
      <c r="D47" s="61"/>
      <c r="E47" s="61"/>
      <c r="F47" s="61"/>
      <c r="G47" s="62"/>
    </row>
    <row r="48" spans="1:7" s="37" customFormat="1" ht="14.25">
      <c r="A48" s="59"/>
      <c r="B48" s="60"/>
      <c r="C48" s="61"/>
      <c r="D48" s="61"/>
      <c r="E48" s="61"/>
      <c r="F48" s="61"/>
      <c r="G48" s="62"/>
    </row>
    <row r="49" spans="1:7" s="37" customFormat="1" ht="14.25">
      <c r="A49" s="59"/>
      <c r="B49" s="60"/>
      <c r="C49" s="61"/>
      <c r="D49" s="61"/>
      <c r="E49" s="61"/>
      <c r="F49" s="61"/>
      <c r="G49" s="62"/>
    </row>
    <row r="50" spans="1:7" s="37" customFormat="1" ht="14.25">
      <c r="A50" s="59"/>
      <c r="B50" s="60"/>
      <c r="C50" s="61"/>
      <c r="D50" s="61"/>
      <c r="E50" s="61"/>
      <c r="F50" s="61"/>
      <c r="G50" s="62"/>
    </row>
    <row r="51" ht="15">
      <c r="A51" s="4" t="s">
        <v>25</v>
      </c>
    </row>
    <row r="52" spans="1:7" ht="48.75" customHeight="1">
      <c r="A52" s="467" t="s">
        <v>26</v>
      </c>
      <c r="B52" s="467"/>
      <c r="C52" s="467"/>
      <c r="D52" s="467"/>
      <c r="E52" s="467"/>
      <c r="F52" s="467"/>
      <c r="G52" s="467"/>
    </row>
    <row r="53" spans="1:7" ht="48.75" customHeight="1">
      <c r="A53" s="467" t="s">
        <v>106</v>
      </c>
      <c r="B53" s="467"/>
      <c r="C53" s="467"/>
      <c r="D53" s="467"/>
      <c r="E53" s="467"/>
      <c r="F53" s="467"/>
      <c r="G53" s="467"/>
    </row>
    <row r="54" spans="1:7" ht="42" customHeight="1">
      <c r="A54" s="467" t="s">
        <v>107</v>
      </c>
      <c r="B54" s="467"/>
      <c r="C54" s="467"/>
      <c r="D54" s="467"/>
      <c r="E54" s="467"/>
      <c r="F54" s="467"/>
      <c r="G54" s="467"/>
    </row>
  </sheetData>
  <sheetProtection/>
  <mergeCells count="15">
    <mergeCell ref="A4:G4"/>
    <mergeCell ref="A2:G2"/>
    <mergeCell ref="D6:D7"/>
    <mergeCell ref="E6:E7"/>
    <mergeCell ref="F6:G6"/>
    <mergeCell ref="A1:B1"/>
    <mergeCell ref="E1:G1"/>
    <mergeCell ref="E5:G5"/>
    <mergeCell ref="A3:G3"/>
    <mergeCell ref="A54:G54"/>
    <mergeCell ref="A52:G52"/>
    <mergeCell ref="A53:G53"/>
    <mergeCell ref="A6:A7"/>
    <mergeCell ref="B6:B7"/>
    <mergeCell ref="C6:C7"/>
  </mergeCells>
  <printOptions/>
  <pageMargins left="0.49" right="0.2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P30"/>
  <sheetViews>
    <sheetView zoomScalePageLayoutView="0" workbookViewId="0" topLeftCell="A4">
      <selection activeCell="I24" sqref="I24"/>
    </sheetView>
  </sheetViews>
  <sheetFormatPr defaultColWidth="9.00390625" defaultRowHeight="14.25"/>
  <cols>
    <col min="1" max="1" width="4.625" style="0" customWidth="1"/>
    <col min="2" max="2" width="20.875" style="0" customWidth="1"/>
    <col min="3" max="3" width="13.00390625" style="13" customWidth="1"/>
    <col min="4" max="4" width="10.25390625" style="0" customWidth="1"/>
    <col min="5" max="5" width="10.875" style="0" customWidth="1"/>
    <col min="6" max="6" width="9.125" style="0" customWidth="1"/>
    <col min="7" max="7" width="8.375" style="0" customWidth="1"/>
    <col min="9" max="9" width="9.625" style="0" customWidth="1"/>
    <col min="10" max="10" width="8.375" style="0" customWidth="1"/>
    <col min="11" max="11" width="8.00390625" style="0" customWidth="1"/>
    <col min="12" max="12" width="8.375" style="0" customWidth="1"/>
    <col min="13" max="13" width="10.00390625" style="0" customWidth="1"/>
  </cols>
  <sheetData>
    <row r="1" ht="15.75">
      <c r="M1" s="7" t="s">
        <v>181</v>
      </c>
    </row>
    <row r="2" spans="1:13" ht="15.75">
      <c r="A2" s="480" t="s">
        <v>300</v>
      </c>
      <c r="B2" s="480"/>
      <c r="C2" s="480"/>
      <c r="D2" s="480"/>
      <c r="E2" s="480"/>
      <c r="F2" s="480"/>
      <c r="G2" s="480"/>
      <c r="H2" s="480"/>
      <c r="I2" s="480"/>
      <c r="J2" s="480"/>
      <c r="K2" s="480"/>
      <c r="L2" s="480"/>
      <c r="M2" s="480"/>
    </row>
    <row r="3" spans="1:13" ht="17.25" customHeight="1">
      <c r="A3" s="469" t="str">
        <f>'15'!A3:G3</f>
        <v>(Kèm theo Tờ trình số         /TTr-HĐND  ngày        tháng 12 năm 2022 của UBND huyện Hạ Lang)</v>
      </c>
      <c r="B3" s="469"/>
      <c r="C3" s="469"/>
      <c r="D3" s="469"/>
      <c r="E3" s="469"/>
      <c r="F3" s="469"/>
      <c r="G3" s="469"/>
      <c r="H3" s="469"/>
      <c r="I3" s="469"/>
      <c r="J3" s="469"/>
      <c r="K3" s="469"/>
      <c r="L3" s="469"/>
      <c r="M3" s="469"/>
    </row>
    <row r="4" ht="15.75">
      <c r="M4" s="8" t="s">
        <v>208</v>
      </c>
    </row>
    <row r="5" spans="1:13" ht="25.5" customHeight="1">
      <c r="A5" s="481" t="s">
        <v>4</v>
      </c>
      <c r="B5" s="481" t="s">
        <v>239</v>
      </c>
      <c r="C5" s="481" t="s">
        <v>210</v>
      </c>
      <c r="D5" s="481" t="s">
        <v>240</v>
      </c>
      <c r="E5" s="481" t="s">
        <v>241</v>
      </c>
      <c r="F5" s="481" t="s">
        <v>242</v>
      </c>
      <c r="G5" s="481" t="s">
        <v>243</v>
      </c>
      <c r="H5" s="481" t="s">
        <v>244</v>
      </c>
      <c r="I5" s="481" t="s">
        <v>21</v>
      </c>
      <c r="J5" s="481" t="s">
        <v>245</v>
      </c>
      <c r="K5" s="481"/>
      <c r="L5" s="481"/>
      <c r="M5" s="481" t="s">
        <v>246</v>
      </c>
    </row>
    <row r="6" spans="1:13" ht="93" customHeight="1">
      <c r="A6" s="481"/>
      <c r="B6" s="481"/>
      <c r="C6" s="481"/>
      <c r="D6" s="481"/>
      <c r="E6" s="481"/>
      <c r="F6" s="481"/>
      <c r="G6" s="481"/>
      <c r="H6" s="481"/>
      <c r="I6" s="481"/>
      <c r="J6" s="10" t="s">
        <v>210</v>
      </c>
      <c r="K6" s="10" t="s">
        <v>247</v>
      </c>
      <c r="L6" s="10" t="s">
        <v>20</v>
      </c>
      <c r="M6" s="481"/>
    </row>
    <row r="7" spans="1:13" ht="15.75">
      <c r="A7" s="10" t="s">
        <v>6</v>
      </c>
      <c r="B7" s="10" t="s">
        <v>7</v>
      </c>
      <c r="C7" s="10">
        <v>1</v>
      </c>
      <c r="D7" s="10">
        <v>2</v>
      </c>
      <c r="E7" s="10">
        <v>3</v>
      </c>
      <c r="F7" s="10">
        <v>4</v>
      </c>
      <c r="G7" s="10">
        <v>5</v>
      </c>
      <c r="H7" s="10">
        <v>6</v>
      </c>
      <c r="I7" s="10">
        <v>7</v>
      </c>
      <c r="J7" s="10">
        <v>8</v>
      </c>
      <c r="K7" s="10">
        <v>9</v>
      </c>
      <c r="L7" s="10">
        <v>10</v>
      </c>
      <c r="M7" s="10">
        <v>11</v>
      </c>
    </row>
    <row r="8" spans="1:13" s="12" customFormat="1" ht="18" customHeight="1">
      <c r="A8" s="121"/>
      <c r="B8" s="14" t="s">
        <v>206</v>
      </c>
      <c r="C8" s="130">
        <f aca="true" t="shared" si="0" ref="C8:H8">SUM(C9:C21)</f>
        <v>51004000</v>
      </c>
      <c r="D8" s="130">
        <f t="shared" si="0"/>
        <v>0</v>
      </c>
      <c r="E8" s="130">
        <f t="shared" si="0"/>
        <v>50549000</v>
      </c>
      <c r="F8" s="130">
        <f t="shared" si="0"/>
        <v>0</v>
      </c>
      <c r="G8" s="130">
        <f t="shared" si="0"/>
        <v>0</v>
      </c>
      <c r="H8" s="130">
        <f t="shared" si="0"/>
        <v>455000</v>
      </c>
      <c r="I8" s="131"/>
      <c r="J8" s="131"/>
      <c r="K8" s="131"/>
      <c r="L8" s="131"/>
      <c r="M8" s="131"/>
    </row>
    <row r="9" spans="1:16" s="12" customFormat="1" ht="18" customHeight="1">
      <c r="A9" s="126">
        <v>1</v>
      </c>
      <c r="B9" s="127" t="s">
        <v>307</v>
      </c>
      <c r="C9" s="191">
        <f>SUM(D9:I9,J9:M9)</f>
        <v>4054000</v>
      </c>
      <c r="D9" s="132"/>
      <c r="E9" s="191">
        <f>'Biểu 37 xã'!C9-'Biểu 37 xã'!S9</f>
        <v>4019000</v>
      </c>
      <c r="F9" s="132"/>
      <c r="G9" s="132"/>
      <c r="H9" s="191">
        <f>'Biểu 37 xã'!S9</f>
        <v>35000</v>
      </c>
      <c r="I9" s="126"/>
      <c r="J9" s="126"/>
      <c r="K9" s="126"/>
      <c r="L9" s="126"/>
      <c r="M9" s="126"/>
      <c r="N9" s="12">
        <f>E9*2.1%</f>
        <v>84399</v>
      </c>
      <c r="O9" s="85">
        <f>E9+N9</f>
        <v>4103399</v>
      </c>
      <c r="P9" s="281">
        <f>N9/O9</f>
        <v>0.02056807051909892</v>
      </c>
    </row>
    <row r="10" spans="1:16" s="12" customFormat="1" ht="18" customHeight="1">
      <c r="A10" s="126">
        <v>2</v>
      </c>
      <c r="B10" s="133" t="s">
        <v>309</v>
      </c>
      <c r="C10" s="191">
        <f aca="true" t="shared" si="1" ref="C10:C21">SUM(D10:I10,J10:M10)</f>
        <v>3882000</v>
      </c>
      <c r="D10" s="132"/>
      <c r="E10" s="191">
        <f>'Biểu 37 xã'!C10-'Biểu 37 xã'!S10</f>
        <v>3847000</v>
      </c>
      <c r="F10" s="132"/>
      <c r="G10" s="132"/>
      <c r="H10" s="191">
        <f>'Biểu 37 xã'!S10</f>
        <v>35000</v>
      </c>
      <c r="I10" s="126"/>
      <c r="J10" s="126"/>
      <c r="K10" s="126"/>
      <c r="L10" s="126"/>
      <c r="M10" s="126"/>
      <c r="N10" s="12">
        <f aca="true" t="shared" si="2" ref="N10:N21">E10*2.1%</f>
        <v>80787</v>
      </c>
      <c r="O10" s="85">
        <f aca="true" t="shared" si="3" ref="O10:O21">E10+N10</f>
        <v>3927787</v>
      </c>
      <c r="P10" s="281">
        <f aca="true" t="shared" si="4" ref="P10:P21">N10/O10</f>
        <v>0.02056807051909892</v>
      </c>
    </row>
    <row r="11" spans="1:16" s="12" customFormat="1" ht="18" customHeight="1">
      <c r="A11" s="126">
        <v>3</v>
      </c>
      <c r="B11" s="133" t="s">
        <v>310</v>
      </c>
      <c r="C11" s="191">
        <f t="shared" si="1"/>
        <v>3949000</v>
      </c>
      <c r="D11" s="132"/>
      <c r="E11" s="191">
        <f>'Biểu 37 xã'!C11-'Biểu 37 xã'!S11</f>
        <v>3914000</v>
      </c>
      <c r="F11" s="132"/>
      <c r="G11" s="132"/>
      <c r="H11" s="191">
        <f>'Biểu 37 xã'!S11</f>
        <v>35000</v>
      </c>
      <c r="I11" s="126"/>
      <c r="J11" s="126"/>
      <c r="K11" s="126"/>
      <c r="L11" s="126"/>
      <c r="M11" s="126"/>
      <c r="N11" s="12">
        <f t="shared" si="2"/>
        <v>82194</v>
      </c>
      <c r="O11" s="85">
        <f t="shared" si="3"/>
        <v>3996194</v>
      </c>
      <c r="P11" s="281">
        <f t="shared" si="4"/>
        <v>0.02056807051909892</v>
      </c>
    </row>
    <row r="12" spans="1:16" s="12" customFormat="1" ht="18" customHeight="1">
      <c r="A12" s="126">
        <v>4</v>
      </c>
      <c r="B12" s="133" t="s">
        <v>311</v>
      </c>
      <c r="C12" s="191">
        <f t="shared" si="1"/>
        <v>3639000</v>
      </c>
      <c r="D12" s="132"/>
      <c r="E12" s="191">
        <f>'Biểu 37 xã'!C12-'Biểu 37 xã'!S12</f>
        <v>3604000</v>
      </c>
      <c r="F12" s="132"/>
      <c r="G12" s="132"/>
      <c r="H12" s="191">
        <f>'Biểu 37 xã'!S12</f>
        <v>35000</v>
      </c>
      <c r="I12" s="126"/>
      <c r="J12" s="126"/>
      <c r="K12" s="126"/>
      <c r="L12" s="126"/>
      <c r="M12" s="126"/>
      <c r="N12" s="12">
        <f t="shared" si="2"/>
        <v>75684</v>
      </c>
      <c r="O12" s="85">
        <f t="shared" si="3"/>
        <v>3679684</v>
      </c>
      <c r="P12" s="281">
        <f t="shared" si="4"/>
        <v>0.02056807051909892</v>
      </c>
    </row>
    <row r="13" spans="1:16" s="12" customFormat="1" ht="18" customHeight="1">
      <c r="A13" s="126">
        <v>5</v>
      </c>
      <c r="B13" s="133" t="s">
        <v>312</v>
      </c>
      <c r="C13" s="191">
        <f t="shared" si="1"/>
        <v>3481000</v>
      </c>
      <c r="D13" s="132"/>
      <c r="E13" s="191">
        <f>'Biểu 37 xã'!C13-'Biểu 37 xã'!S13</f>
        <v>3446000</v>
      </c>
      <c r="F13" s="132"/>
      <c r="G13" s="132"/>
      <c r="H13" s="191">
        <f>'Biểu 37 xã'!S13</f>
        <v>35000</v>
      </c>
      <c r="I13" s="126"/>
      <c r="J13" s="126"/>
      <c r="K13" s="126"/>
      <c r="L13" s="126"/>
      <c r="M13" s="126"/>
      <c r="N13" s="12">
        <f t="shared" si="2"/>
        <v>72366</v>
      </c>
      <c r="O13" s="85">
        <f t="shared" si="3"/>
        <v>3518366</v>
      </c>
      <c r="P13" s="281">
        <f t="shared" si="4"/>
        <v>0.02056807051909892</v>
      </c>
    </row>
    <row r="14" spans="1:16" s="12" customFormat="1" ht="18" customHeight="1">
      <c r="A14" s="126">
        <v>6</v>
      </c>
      <c r="B14" s="133" t="s">
        <v>347</v>
      </c>
      <c r="C14" s="191">
        <f t="shared" si="1"/>
        <v>3449000</v>
      </c>
      <c r="D14" s="132"/>
      <c r="E14" s="191">
        <f>'Biểu 37 xã'!C14-'Biểu 37 xã'!S14</f>
        <v>3414000</v>
      </c>
      <c r="F14" s="132"/>
      <c r="G14" s="132"/>
      <c r="H14" s="191">
        <f>'Biểu 37 xã'!S14</f>
        <v>35000</v>
      </c>
      <c r="I14" s="126"/>
      <c r="J14" s="126"/>
      <c r="K14" s="126"/>
      <c r="L14" s="126"/>
      <c r="M14" s="126"/>
      <c r="N14" s="12">
        <f t="shared" si="2"/>
        <v>71694</v>
      </c>
      <c r="O14" s="85">
        <f t="shared" si="3"/>
        <v>3485694</v>
      </c>
      <c r="P14" s="281">
        <f t="shared" si="4"/>
        <v>0.02056807051909892</v>
      </c>
    </row>
    <row r="15" spans="1:16" s="12" customFormat="1" ht="18" customHeight="1">
      <c r="A15" s="126">
        <v>7</v>
      </c>
      <c r="B15" s="133" t="s">
        <v>314</v>
      </c>
      <c r="C15" s="191">
        <f t="shared" si="1"/>
        <v>4244000</v>
      </c>
      <c r="D15" s="132"/>
      <c r="E15" s="191">
        <f>'Biểu 37 xã'!C15-'Biểu 37 xã'!S15</f>
        <v>4209000</v>
      </c>
      <c r="F15" s="132"/>
      <c r="G15" s="132"/>
      <c r="H15" s="191">
        <f>'Biểu 37 xã'!S15</f>
        <v>35000</v>
      </c>
      <c r="I15" s="126"/>
      <c r="J15" s="126"/>
      <c r="K15" s="126"/>
      <c r="L15" s="126"/>
      <c r="M15" s="126"/>
      <c r="N15" s="12">
        <f t="shared" si="2"/>
        <v>88389</v>
      </c>
      <c r="O15" s="85">
        <f t="shared" si="3"/>
        <v>4297389</v>
      </c>
      <c r="P15" s="281">
        <f t="shared" si="4"/>
        <v>0.02056807051909892</v>
      </c>
    </row>
    <row r="16" spans="1:16" s="12" customFormat="1" ht="18" customHeight="1">
      <c r="A16" s="126">
        <v>8</v>
      </c>
      <c r="B16" s="133" t="s">
        <v>315</v>
      </c>
      <c r="C16" s="191">
        <f t="shared" si="1"/>
        <v>4028000</v>
      </c>
      <c r="D16" s="132"/>
      <c r="E16" s="191">
        <f>'Biểu 37 xã'!C16-'Biểu 37 xã'!S16</f>
        <v>3993000</v>
      </c>
      <c r="F16" s="132"/>
      <c r="G16" s="132"/>
      <c r="H16" s="191">
        <f>'Biểu 37 xã'!S16</f>
        <v>35000</v>
      </c>
      <c r="I16" s="126"/>
      <c r="J16" s="126"/>
      <c r="K16" s="126"/>
      <c r="L16" s="126"/>
      <c r="M16" s="126"/>
      <c r="N16" s="12">
        <f t="shared" si="2"/>
        <v>83853</v>
      </c>
      <c r="O16" s="85">
        <f t="shared" si="3"/>
        <v>4076853</v>
      </c>
      <c r="P16" s="281">
        <f t="shared" si="4"/>
        <v>0.02056807051909892</v>
      </c>
    </row>
    <row r="17" spans="1:16" s="12" customFormat="1" ht="18" customHeight="1">
      <c r="A17" s="126">
        <v>9</v>
      </c>
      <c r="B17" s="133" t="s">
        <v>349</v>
      </c>
      <c r="C17" s="191">
        <f t="shared" si="1"/>
        <v>5092000</v>
      </c>
      <c r="D17" s="132"/>
      <c r="E17" s="191">
        <f>'Biểu 37 xã'!C17-'Biểu 37 xã'!S17</f>
        <v>5057000</v>
      </c>
      <c r="F17" s="132"/>
      <c r="G17" s="132"/>
      <c r="H17" s="191">
        <f>'Biểu 37 xã'!S17</f>
        <v>35000</v>
      </c>
      <c r="I17" s="126"/>
      <c r="J17" s="126"/>
      <c r="K17" s="126"/>
      <c r="L17" s="126"/>
      <c r="M17" s="126"/>
      <c r="N17" s="12">
        <f t="shared" si="2"/>
        <v>106197</v>
      </c>
      <c r="O17" s="85">
        <f t="shared" si="3"/>
        <v>5163197</v>
      </c>
      <c r="P17" s="281">
        <f t="shared" si="4"/>
        <v>0.02056807051909892</v>
      </c>
    </row>
    <row r="18" spans="1:16" s="12" customFormat="1" ht="18" customHeight="1">
      <c r="A18" s="126">
        <v>10</v>
      </c>
      <c r="B18" s="133" t="s">
        <v>317</v>
      </c>
      <c r="C18" s="191">
        <f t="shared" si="1"/>
        <v>3884000</v>
      </c>
      <c r="D18" s="132"/>
      <c r="E18" s="191">
        <f>'Biểu 37 xã'!C18-'Biểu 37 xã'!S18</f>
        <v>3849000</v>
      </c>
      <c r="F18" s="132"/>
      <c r="G18" s="132"/>
      <c r="H18" s="191">
        <f>'Biểu 37 xã'!S18</f>
        <v>35000</v>
      </c>
      <c r="I18" s="126"/>
      <c r="J18" s="126"/>
      <c r="K18" s="126"/>
      <c r="L18" s="126"/>
      <c r="M18" s="126"/>
      <c r="N18" s="12">
        <f t="shared" si="2"/>
        <v>80829</v>
      </c>
      <c r="O18" s="85">
        <f t="shared" si="3"/>
        <v>3929829</v>
      </c>
      <c r="P18" s="281">
        <f t="shared" si="4"/>
        <v>0.02056807051909892</v>
      </c>
    </row>
    <row r="19" spans="1:16" s="12" customFormat="1" ht="18" customHeight="1">
      <c r="A19" s="126">
        <v>11</v>
      </c>
      <c r="B19" s="133" t="s">
        <v>318</v>
      </c>
      <c r="C19" s="191">
        <f t="shared" si="1"/>
        <v>4302000</v>
      </c>
      <c r="D19" s="132"/>
      <c r="E19" s="191">
        <f>'Biểu 37 xã'!C19-'Biểu 37 xã'!S19</f>
        <v>4267000</v>
      </c>
      <c r="F19" s="132"/>
      <c r="G19" s="132"/>
      <c r="H19" s="191">
        <f>'Biểu 37 xã'!S19</f>
        <v>35000</v>
      </c>
      <c r="I19" s="126"/>
      <c r="J19" s="126"/>
      <c r="K19" s="126"/>
      <c r="L19" s="126"/>
      <c r="M19" s="126"/>
      <c r="N19" s="12">
        <f t="shared" si="2"/>
        <v>89607</v>
      </c>
      <c r="O19" s="85">
        <f t="shared" si="3"/>
        <v>4356607</v>
      </c>
      <c r="P19" s="281">
        <f t="shared" si="4"/>
        <v>0.02056807051909892</v>
      </c>
    </row>
    <row r="20" spans="1:16" s="12" customFormat="1" ht="18" customHeight="1">
      <c r="A20" s="126">
        <v>12</v>
      </c>
      <c r="B20" s="133" t="s">
        <v>319</v>
      </c>
      <c r="C20" s="191">
        <f t="shared" si="1"/>
        <v>3465000</v>
      </c>
      <c r="D20" s="132"/>
      <c r="E20" s="191">
        <f>'Biểu 37 xã'!C20-'Biểu 37 xã'!S20</f>
        <v>3430000</v>
      </c>
      <c r="F20" s="132"/>
      <c r="G20" s="132"/>
      <c r="H20" s="191">
        <f>'Biểu 37 xã'!S20</f>
        <v>35000</v>
      </c>
      <c r="I20" s="126"/>
      <c r="J20" s="126"/>
      <c r="K20" s="126"/>
      <c r="L20" s="126"/>
      <c r="M20" s="126"/>
      <c r="N20" s="12">
        <f t="shared" si="2"/>
        <v>72030</v>
      </c>
      <c r="O20" s="85">
        <f t="shared" si="3"/>
        <v>3502030</v>
      </c>
      <c r="P20" s="281">
        <f t="shared" si="4"/>
        <v>0.02056807051909892</v>
      </c>
    </row>
    <row r="21" spans="1:16" s="12" customFormat="1" ht="18" customHeight="1">
      <c r="A21" s="126">
        <v>13</v>
      </c>
      <c r="B21" s="133" t="s">
        <v>320</v>
      </c>
      <c r="C21" s="191">
        <f t="shared" si="1"/>
        <v>3535000</v>
      </c>
      <c r="D21" s="132"/>
      <c r="E21" s="191">
        <f>'Biểu 37 xã'!C21-'Biểu 37 xã'!S21</f>
        <v>3500000</v>
      </c>
      <c r="F21" s="132"/>
      <c r="G21" s="132"/>
      <c r="H21" s="191">
        <f>'Biểu 37 xã'!S21</f>
        <v>35000</v>
      </c>
      <c r="I21" s="126"/>
      <c r="J21" s="126"/>
      <c r="K21" s="126"/>
      <c r="L21" s="126"/>
      <c r="M21" s="126"/>
      <c r="N21" s="12">
        <f t="shared" si="2"/>
        <v>73500</v>
      </c>
      <c r="O21" s="85">
        <f t="shared" si="3"/>
        <v>3573500</v>
      </c>
      <c r="P21" s="281">
        <f t="shared" si="4"/>
        <v>0.02056807051909892</v>
      </c>
    </row>
    <row r="22" spans="1:13" s="209" customFormat="1" ht="36" customHeight="1">
      <c r="A22" s="210" t="s">
        <v>11</v>
      </c>
      <c r="B22" s="211" t="s">
        <v>248</v>
      </c>
      <c r="C22" s="210"/>
      <c r="D22" s="212"/>
      <c r="E22" s="212"/>
      <c r="F22" s="212"/>
      <c r="G22" s="212"/>
      <c r="H22" s="212"/>
      <c r="I22" s="212"/>
      <c r="J22" s="212"/>
      <c r="K22" s="212"/>
      <c r="L22" s="212"/>
      <c r="M22" s="212"/>
    </row>
    <row r="23" spans="1:13" s="209" customFormat="1" ht="28.5" customHeight="1">
      <c r="A23" s="210" t="s">
        <v>12</v>
      </c>
      <c r="B23" s="211" t="s">
        <v>249</v>
      </c>
      <c r="C23" s="210"/>
      <c r="D23" s="212"/>
      <c r="E23" s="212"/>
      <c r="F23" s="212"/>
      <c r="G23" s="212"/>
      <c r="H23" s="212"/>
      <c r="I23" s="212"/>
      <c r="J23" s="212"/>
      <c r="K23" s="212"/>
      <c r="L23" s="212"/>
      <c r="M23" s="212"/>
    </row>
    <row r="24" spans="1:13" s="209" customFormat="1" ht="28.5" customHeight="1">
      <c r="A24" s="210" t="s">
        <v>13</v>
      </c>
      <c r="B24" s="211" t="s">
        <v>250</v>
      </c>
      <c r="C24" s="210"/>
      <c r="D24" s="212"/>
      <c r="E24" s="212"/>
      <c r="F24" s="212"/>
      <c r="G24" s="212"/>
      <c r="H24" s="212"/>
      <c r="I24" s="212"/>
      <c r="J24" s="212"/>
      <c r="K24" s="212"/>
      <c r="L24" s="212"/>
      <c r="M24" s="212"/>
    </row>
    <row r="25" spans="1:13" s="209" customFormat="1" ht="28.5" customHeight="1">
      <c r="A25" s="210" t="s">
        <v>24</v>
      </c>
      <c r="B25" s="211" t="s">
        <v>251</v>
      </c>
      <c r="C25" s="210"/>
      <c r="D25" s="212"/>
      <c r="E25" s="212"/>
      <c r="F25" s="212"/>
      <c r="G25" s="212"/>
      <c r="H25" s="212"/>
      <c r="I25" s="212"/>
      <c r="J25" s="212"/>
      <c r="K25" s="212"/>
      <c r="L25" s="212"/>
      <c r="M25" s="212"/>
    </row>
    <row r="26" spans="1:13" s="209" customFormat="1" ht="36" customHeight="1">
      <c r="A26" s="210" t="s">
        <v>90</v>
      </c>
      <c r="B26" s="211" t="s">
        <v>252</v>
      </c>
      <c r="C26" s="210"/>
      <c r="D26" s="212"/>
      <c r="E26" s="212"/>
      <c r="F26" s="212"/>
      <c r="G26" s="212"/>
      <c r="H26" s="212"/>
      <c r="I26" s="212"/>
      <c r="J26" s="212"/>
      <c r="K26" s="212"/>
      <c r="L26" s="212"/>
      <c r="M26" s="212"/>
    </row>
    <row r="27" spans="1:13" s="209" customFormat="1" ht="36" customHeight="1">
      <c r="A27" s="213" t="s">
        <v>253</v>
      </c>
      <c r="B27" s="214" t="s">
        <v>254</v>
      </c>
      <c r="C27" s="213"/>
      <c r="D27" s="215"/>
      <c r="E27" s="215"/>
      <c r="F27" s="215"/>
      <c r="G27" s="215"/>
      <c r="H27" s="215"/>
      <c r="I27" s="215"/>
      <c r="J27" s="215"/>
      <c r="K27" s="215"/>
      <c r="L27" s="215"/>
      <c r="M27" s="215"/>
    </row>
    <row r="28" ht="23.25" customHeight="1">
      <c r="A28" s="9" t="s">
        <v>45</v>
      </c>
    </row>
    <row r="29" spans="1:3" s="12" customFormat="1" ht="22.5" customHeight="1">
      <c r="A29" s="88" t="s">
        <v>255</v>
      </c>
      <c r="C29" s="13"/>
    </row>
    <row r="30" ht="22.5" customHeight="1">
      <c r="A30" s="88" t="s">
        <v>256</v>
      </c>
    </row>
  </sheetData>
  <sheetProtection/>
  <mergeCells count="13">
    <mergeCell ref="A2:M2"/>
    <mergeCell ref="A3:M3"/>
    <mergeCell ref="A5:A6"/>
    <mergeCell ref="B5:B6"/>
    <mergeCell ref="C5:C6"/>
    <mergeCell ref="D5:D6"/>
    <mergeCell ref="E5:E6"/>
    <mergeCell ref="F5:F6"/>
    <mergeCell ref="G5:G6"/>
    <mergeCell ref="H5:H6"/>
    <mergeCell ref="I5:I6"/>
    <mergeCell ref="J5:L5"/>
    <mergeCell ref="M5:M6"/>
  </mergeCells>
  <printOptions/>
  <pageMargins left="0.65" right="0.42" top="0.52" bottom="0.33" header="0.3" footer="0.3"/>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FF0000"/>
  </sheetPr>
  <dimension ref="A1:R11"/>
  <sheetViews>
    <sheetView zoomScalePageLayoutView="0" workbookViewId="0" topLeftCell="A1">
      <selection activeCell="R10" sqref="R10"/>
    </sheetView>
  </sheetViews>
  <sheetFormatPr defaultColWidth="9.00390625" defaultRowHeight="14.25"/>
  <cols>
    <col min="1" max="1" width="5.50390625" style="0" customWidth="1"/>
    <col min="2" max="2" width="24.75390625" style="0" customWidth="1"/>
    <col min="3" max="3" width="9.25390625" style="0" customWidth="1"/>
    <col min="4" max="8" width="6.75390625" style="0" customWidth="1"/>
    <col min="9" max="9" width="8.125" style="0" customWidth="1"/>
    <col min="10" max="14" width="7.25390625" style="0" customWidth="1"/>
    <col min="15" max="15" width="8.875" style="0" customWidth="1"/>
    <col min="16" max="16" width="9.75390625" style="0" customWidth="1"/>
    <col min="17" max="18" width="7.25390625" style="0" customWidth="1"/>
  </cols>
  <sheetData>
    <row r="1" ht="15.75">
      <c r="R1" s="169" t="s">
        <v>392</v>
      </c>
    </row>
    <row r="2" spans="1:18" ht="15.75">
      <c r="A2" s="493" t="s">
        <v>410</v>
      </c>
      <c r="B2" s="493"/>
      <c r="C2" s="493"/>
      <c r="D2" s="493"/>
      <c r="E2" s="493"/>
      <c r="F2" s="493"/>
      <c r="G2" s="493"/>
      <c r="H2" s="493"/>
      <c r="I2" s="493"/>
      <c r="J2" s="493"/>
      <c r="K2" s="493"/>
      <c r="L2" s="493"/>
      <c r="M2" s="493"/>
      <c r="N2" s="493"/>
      <c r="O2" s="493"/>
      <c r="P2" s="493"/>
      <c r="Q2" s="493"/>
      <c r="R2" s="493"/>
    </row>
    <row r="3" spans="1:18" ht="15.75">
      <c r="A3" s="492" t="str">
        <f>'[1]Biểu 35 huyện'!A3:M3</f>
        <v>(Kèm theo Nghị quyết số       /NQ-HĐND ngày        tháng 12 năm 2022 của HĐND huyện)</v>
      </c>
      <c r="B3" s="492"/>
      <c r="C3" s="492"/>
      <c r="D3" s="492"/>
      <c r="E3" s="492"/>
      <c r="F3" s="492"/>
      <c r="G3" s="492"/>
      <c r="H3" s="492"/>
      <c r="I3" s="492"/>
      <c r="J3" s="492"/>
      <c r="K3" s="492"/>
      <c r="L3" s="492"/>
      <c r="M3" s="492"/>
      <c r="N3" s="492"/>
      <c r="O3" s="492"/>
      <c r="P3" s="492"/>
      <c r="Q3" s="492"/>
      <c r="R3" s="492"/>
    </row>
    <row r="4" ht="15.75">
      <c r="R4" s="170" t="s">
        <v>9</v>
      </c>
    </row>
    <row r="5" spans="1:18" ht="15.75">
      <c r="A5" s="490" t="s">
        <v>4</v>
      </c>
      <c r="B5" s="490" t="s">
        <v>239</v>
      </c>
      <c r="C5" s="490" t="s">
        <v>210</v>
      </c>
      <c r="D5" s="490" t="s">
        <v>83</v>
      </c>
      <c r="E5" s="490" t="s">
        <v>84</v>
      </c>
      <c r="F5" s="490" t="s">
        <v>144</v>
      </c>
      <c r="G5" s="490" t="s">
        <v>145</v>
      </c>
      <c r="H5" s="490" t="s">
        <v>146</v>
      </c>
      <c r="I5" s="490" t="s">
        <v>147</v>
      </c>
      <c r="J5" s="490" t="s">
        <v>148</v>
      </c>
      <c r="K5" s="490" t="s">
        <v>149</v>
      </c>
      <c r="L5" s="490" t="s">
        <v>150</v>
      </c>
      <c r="M5" s="490" t="s">
        <v>151</v>
      </c>
      <c r="N5" s="490" t="s">
        <v>257</v>
      </c>
      <c r="O5" s="490"/>
      <c r="P5" s="490" t="s">
        <v>152</v>
      </c>
      <c r="Q5" s="490" t="s">
        <v>153</v>
      </c>
      <c r="R5" s="490" t="s">
        <v>154</v>
      </c>
    </row>
    <row r="6" spans="1:18" ht="109.5" customHeight="1">
      <c r="A6" s="490"/>
      <c r="B6" s="490"/>
      <c r="C6" s="490"/>
      <c r="D6" s="490"/>
      <c r="E6" s="490"/>
      <c r="F6" s="490"/>
      <c r="G6" s="490"/>
      <c r="H6" s="490"/>
      <c r="I6" s="490"/>
      <c r="J6" s="490"/>
      <c r="K6" s="490"/>
      <c r="L6" s="490"/>
      <c r="M6" s="490"/>
      <c r="N6" s="285" t="s">
        <v>260</v>
      </c>
      <c r="O6" s="285" t="s">
        <v>261</v>
      </c>
      <c r="P6" s="490"/>
      <c r="Q6" s="490"/>
      <c r="R6" s="490"/>
    </row>
    <row r="7" spans="1:18" ht="15.75">
      <c r="A7" s="285" t="s">
        <v>6</v>
      </c>
      <c r="B7" s="285" t="s">
        <v>7</v>
      </c>
      <c r="C7" s="285">
        <v>1</v>
      </c>
      <c r="D7" s="285">
        <v>2</v>
      </c>
      <c r="E7" s="285">
        <v>3</v>
      </c>
      <c r="F7" s="285">
        <v>4</v>
      </c>
      <c r="G7" s="285">
        <v>5</v>
      </c>
      <c r="H7" s="285">
        <v>6</v>
      </c>
      <c r="I7" s="285">
        <v>7</v>
      </c>
      <c r="J7" s="285">
        <v>8</v>
      </c>
      <c r="K7" s="285">
        <v>9</v>
      </c>
      <c r="L7" s="285">
        <v>10</v>
      </c>
      <c r="M7" s="285">
        <v>11</v>
      </c>
      <c r="N7" s="285">
        <v>12</v>
      </c>
      <c r="O7" s="285">
        <v>13</v>
      </c>
      <c r="P7" s="285">
        <v>14</v>
      </c>
      <c r="Q7" s="285">
        <v>15</v>
      </c>
      <c r="R7" s="285">
        <v>16</v>
      </c>
    </row>
    <row r="8" spans="1:18" ht="32.25" customHeight="1">
      <c r="A8" s="285"/>
      <c r="B8" s="172" t="s">
        <v>206</v>
      </c>
      <c r="C8" s="291">
        <f>SUM(C9:C10)</f>
        <v>16113</v>
      </c>
      <c r="D8" s="291">
        <f aca="true" t="shared" si="0" ref="D8:R8">SUM(D9:D10)</f>
        <v>0</v>
      </c>
      <c r="E8" s="291">
        <f t="shared" si="0"/>
        <v>0</v>
      </c>
      <c r="F8" s="291">
        <f t="shared" si="0"/>
        <v>0</v>
      </c>
      <c r="G8" s="291">
        <f t="shared" si="0"/>
        <v>0</v>
      </c>
      <c r="H8" s="291">
        <f t="shared" si="0"/>
        <v>69</v>
      </c>
      <c r="I8" s="291">
        <f t="shared" si="0"/>
        <v>8168</v>
      </c>
      <c r="J8" s="291">
        <f t="shared" si="0"/>
        <v>0</v>
      </c>
      <c r="K8" s="291">
        <f t="shared" si="0"/>
        <v>0</v>
      </c>
      <c r="L8" s="291">
        <f t="shared" si="0"/>
        <v>0</v>
      </c>
      <c r="M8" s="291">
        <f t="shared" si="0"/>
        <v>0</v>
      </c>
      <c r="N8" s="291">
        <f t="shared" si="0"/>
        <v>0</v>
      </c>
      <c r="O8" s="291">
        <f t="shared" si="0"/>
        <v>0</v>
      </c>
      <c r="P8" s="291">
        <f t="shared" si="0"/>
        <v>0</v>
      </c>
      <c r="Q8" s="291">
        <f t="shared" si="0"/>
        <v>0</v>
      </c>
      <c r="R8" s="291">
        <f t="shared" si="0"/>
        <v>7876</v>
      </c>
    </row>
    <row r="9" spans="1:18" s="12" customFormat="1" ht="32.25" customHeight="1">
      <c r="A9" s="286">
        <v>1</v>
      </c>
      <c r="B9" s="287" t="s">
        <v>406</v>
      </c>
      <c r="C9" s="292">
        <f>SUM(D9:R9)</f>
        <v>14196</v>
      </c>
      <c r="D9" s="293"/>
      <c r="E9" s="293"/>
      <c r="F9" s="293"/>
      <c r="G9" s="293"/>
      <c r="H9" s="293">
        <v>69</v>
      </c>
      <c r="I9" s="292">
        <f>2532+2736+300+1000+800+800</f>
        <v>8168</v>
      </c>
      <c r="J9" s="293"/>
      <c r="K9" s="293"/>
      <c r="L9" s="293"/>
      <c r="M9" s="293"/>
      <c r="N9" s="293"/>
      <c r="O9" s="293"/>
      <c r="P9" s="293"/>
      <c r="Q9" s="293"/>
      <c r="R9" s="292">
        <v>5959</v>
      </c>
    </row>
    <row r="10" spans="1:18" s="12" customFormat="1" ht="32.25" customHeight="1">
      <c r="A10" s="286">
        <v>2</v>
      </c>
      <c r="B10" s="287" t="s">
        <v>409</v>
      </c>
      <c r="C10" s="292">
        <f>SUM(D10:R10)</f>
        <v>1917</v>
      </c>
      <c r="D10" s="293"/>
      <c r="E10" s="293"/>
      <c r="F10" s="293"/>
      <c r="G10" s="293"/>
      <c r="H10" s="293"/>
      <c r="I10" s="293"/>
      <c r="J10" s="293"/>
      <c r="K10" s="293"/>
      <c r="L10" s="293"/>
      <c r="M10" s="293"/>
      <c r="N10" s="293"/>
      <c r="O10" s="293"/>
      <c r="P10" s="293"/>
      <c r="Q10" s="293"/>
      <c r="R10" s="292">
        <v>1917</v>
      </c>
    </row>
    <row r="11" spans="1:18" ht="32.25" customHeight="1">
      <c r="A11" s="285"/>
      <c r="B11" s="172"/>
      <c r="C11" s="294"/>
      <c r="D11" s="294"/>
      <c r="E11" s="294"/>
      <c r="F11" s="294"/>
      <c r="G11" s="294"/>
      <c r="H11" s="294"/>
      <c r="I11" s="294"/>
      <c r="J11" s="294"/>
      <c r="K11" s="294"/>
      <c r="L11" s="294"/>
      <c r="M11" s="294"/>
      <c r="N11" s="294"/>
      <c r="O11" s="294"/>
      <c r="P11" s="294"/>
      <c r="Q11" s="294"/>
      <c r="R11" s="294"/>
    </row>
  </sheetData>
  <sheetProtection/>
  <mergeCells count="19">
    <mergeCell ref="A2:R2"/>
    <mergeCell ref="A3:R3"/>
    <mergeCell ref="A5:A6"/>
    <mergeCell ref="B5:B6"/>
    <mergeCell ref="C5:C6"/>
    <mergeCell ref="D5:D6"/>
    <mergeCell ref="E5:E6"/>
    <mergeCell ref="F5:F6"/>
    <mergeCell ref="G5:G6"/>
    <mergeCell ref="H5:H6"/>
    <mergeCell ref="P5:P6"/>
    <mergeCell ref="Q5:Q6"/>
    <mergeCell ref="R5:R6"/>
    <mergeCell ref="I5:I6"/>
    <mergeCell ref="J5:J6"/>
    <mergeCell ref="K5:K6"/>
    <mergeCell ref="L5:L6"/>
    <mergeCell ref="M5:M6"/>
    <mergeCell ref="N5:O5"/>
  </mergeCells>
  <printOptions/>
  <pageMargins left="0.49" right="0.16" top="0.75" bottom="0.75" header="0.3" footer="0.3"/>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S43"/>
  <sheetViews>
    <sheetView zoomScalePageLayoutView="0" workbookViewId="0" topLeftCell="A1">
      <pane xSplit="2" ySplit="8" topLeftCell="C40" activePane="bottomRight" state="frozen"/>
      <selection pane="topLeft" activeCell="A1" sqref="A1"/>
      <selection pane="topRight" activeCell="C1" sqref="C1"/>
      <selection pane="bottomLeft" activeCell="A9" sqref="A9"/>
      <selection pane="bottomRight" activeCell="P41" sqref="P41"/>
    </sheetView>
  </sheetViews>
  <sheetFormatPr defaultColWidth="9.00390625" defaultRowHeight="14.25"/>
  <cols>
    <col min="1" max="1" width="3.75390625" style="168" customWidth="1"/>
    <col min="2" max="2" width="15.375" style="152" customWidth="1"/>
    <col min="3" max="3" width="13.125" style="152" customWidth="1"/>
    <col min="4" max="4" width="12.375" style="152" customWidth="1"/>
    <col min="5" max="5" width="7.50390625" style="152" customWidth="1"/>
    <col min="6" max="9" width="10.25390625" style="152" customWidth="1"/>
    <col min="10" max="11" width="7.75390625" style="152" customWidth="1"/>
    <col min="12" max="12" width="10.25390625" style="152" customWidth="1"/>
    <col min="13" max="13" width="11.75390625" style="152" customWidth="1"/>
    <col min="14" max="14" width="11.875" style="152" customWidth="1"/>
    <col min="15" max="15" width="10.25390625" style="152" customWidth="1"/>
    <col min="16" max="16" width="12.375" style="152" customWidth="1"/>
    <col min="17" max="17" width="12.25390625" style="152" customWidth="1"/>
    <col min="18" max="18" width="11.75390625" style="152" customWidth="1"/>
    <col min="19" max="19" width="10.375" style="152" bestFit="1" customWidth="1"/>
    <col min="20" max="16384" width="9.00390625" style="152" customWidth="1"/>
  </cols>
  <sheetData>
    <row r="1" spans="1:19" ht="15.75">
      <c r="A1" s="150"/>
      <c r="B1" s="150"/>
      <c r="C1" s="150"/>
      <c r="D1" s="150"/>
      <c r="E1" s="150"/>
      <c r="F1" s="150"/>
      <c r="G1" s="150"/>
      <c r="H1" s="150"/>
      <c r="I1" s="150"/>
      <c r="J1" s="150"/>
      <c r="K1" s="150"/>
      <c r="L1" s="150"/>
      <c r="M1" s="150"/>
      <c r="N1" s="150"/>
      <c r="O1" s="150"/>
      <c r="P1" s="150"/>
      <c r="Q1" s="150"/>
      <c r="R1" s="151" t="s">
        <v>182</v>
      </c>
      <c r="S1" s="150"/>
    </row>
    <row r="2" spans="1:19" ht="15.75">
      <c r="A2" s="496" t="s">
        <v>565</v>
      </c>
      <c r="B2" s="496"/>
      <c r="C2" s="496"/>
      <c r="D2" s="496"/>
      <c r="E2" s="496"/>
      <c r="F2" s="496"/>
      <c r="G2" s="496"/>
      <c r="H2" s="496"/>
      <c r="I2" s="496"/>
      <c r="J2" s="496"/>
      <c r="K2" s="496"/>
      <c r="L2" s="496"/>
      <c r="M2" s="496"/>
      <c r="N2" s="496"/>
      <c r="O2" s="496"/>
      <c r="P2" s="496"/>
      <c r="Q2" s="496"/>
      <c r="R2" s="496"/>
      <c r="S2" s="150"/>
    </row>
    <row r="3" spans="1:19" ht="16.5" customHeight="1">
      <c r="A3" s="495" t="str">
        <f>'15'!A3:G3</f>
        <v>(Kèm theo Tờ trình số         /TTr-HĐND  ngày        tháng 12 năm 2022 của UBND huyện Hạ Lang)</v>
      </c>
      <c r="B3" s="495"/>
      <c r="C3" s="495"/>
      <c r="D3" s="495"/>
      <c r="E3" s="495"/>
      <c r="F3" s="495"/>
      <c r="G3" s="495"/>
      <c r="H3" s="495"/>
      <c r="I3" s="495"/>
      <c r="J3" s="495"/>
      <c r="K3" s="495"/>
      <c r="L3" s="495"/>
      <c r="M3" s="495"/>
      <c r="N3" s="495"/>
      <c r="O3" s="495"/>
      <c r="P3" s="495"/>
      <c r="Q3" s="495"/>
      <c r="R3" s="495"/>
      <c r="S3" s="150"/>
    </row>
    <row r="4" spans="1:19" ht="15.75">
      <c r="A4" s="150"/>
      <c r="B4" s="150"/>
      <c r="C4" s="150"/>
      <c r="D4" s="150"/>
      <c r="E4" s="150"/>
      <c r="F4" s="150"/>
      <c r="G4" s="150"/>
      <c r="H4" s="150"/>
      <c r="I4" s="150"/>
      <c r="J4" s="150"/>
      <c r="K4" s="150"/>
      <c r="L4" s="150"/>
      <c r="M4" s="150"/>
      <c r="N4" s="150"/>
      <c r="O4" s="150"/>
      <c r="P4" s="150"/>
      <c r="Q4" s="150"/>
      <c r="R4" s="153" t="s">
        <v>390</v>
      </c>
      <c r="S4" s="150"/>
    </row>
    <row r="5" spans="1:19" s="143" customFormat="1" ht="33" customHeight="1">
      <c r="A5" s="494" t="s">
        <v>4</v>
      </c>
      <c r="B5" s="494" t="s">
        <v>239</v>
      </c>
      <c r="C5" s="494" t="s">
        <v>210</v>
      </c>
      <c r="D5" s="494" t="s">
        <v>83</v>
      </c>
      <c r="E5" s="494" t="s">
        <v>84</v>
      </c>
      <c r="F5" s="494" t="s">
        <v>144</v>
      </c>
      <c r="G5" s="494" t="s">
        <v>145</v>
      </c>
      <c r="H5" s="494" t="s">
        <v>146</v>
      </c>
      <c r="I5" s="494" t="s">
        <v>147</v>
      </c>
      <c r="J5" s="494" t="s">
        <v>148</v>
      </c>
      <c r="K5" s="494" t="s">
        <v>149</v>
      </c>
      <c r="L5" s="494" t="s">
        <v>150</v>
      </c>
      <c r="M5" s="494" t="s">
        <v>151</v>
      </c>
      <c r="N5" s="494" t="s">
        <v>257</v>
      </c>
      <c r="O5" s="494"/>
      <c r="P5" s="494" t="s">
        <v>152</v>
      </c>
      <c r="Q5" s="494" t="s">
        <v>153</v>
      </c>
      <c r="R5" s="494" t="s">
        <v>155</v>
      </c>
      <c r="S5" s="150"/>
    </row>
    <row r="6" spans="1:19" s="143" customFormat="1" ht="90" customHeight="1">
      <c r="A6" s="494"/>
      <c r="B6" s="494"/>
      <c r="C6" s="494"/>
      <c r="D6" s="494"/>
      <c r="E6" s="494"/>
      <c r="F6" s="494"/>
      <c r="G6" s="494"/>
      <c r="H6" s="494"/>
      <c r="I6" s="494"/>
      <c r="J6" s="494"/>
      <c r="K6" s="494"/>
      <c r="L6" s="494"/>
      <c r="M6" s="494"/>
      <c r="N6" s="154" t="s">
        <v>260</v>
      </c>
      <c r="O6" s="154" t="s">
        <v>261</v>
      </c>
      <c r="P6" s="494"/>
      <c r="Q6" s="494"/>
      <c r="R6" s="494"/>
      <c r="S6" s="150"/>
    </row>
    <row r="7" spans="1:19" s="144" customFormat="1" ht="16.5" customHeight="1">
      <c r="A7" s="154" t="s">
        <v>6</v>
      </c>
      <c r="B7" s="154" t="s">
        <v>7</v>
      </c>
      <c r="C7" s="154">
        <v>1</v>
      </c>
      <c r="D7" s="154">
        <v>2</v>
      </c>
      <c r="E7" s="154">
        <v>3</v>
      </c>
      <c r="F7" s="154">
        <v>4</v>
      </c>
      <c r="G7" s="154">
        <v>5</v>
      </c>
      <c r="H7" s="154">
        <v>6</v>
      </c>
      <c r="I7" s="154">
        <v>7</v>
      </c>
      <c r="J7" s="154">
        <v>8</v>
      </c>
      <c r="K7" s="154">
        <v>9</v>
      </c>
      <c r="L7" s="154">
        <v>10</v>
      </c>
      <c r="M7" s="154">
        <v>11</v>
      </c>
      <c r="N7" s="154">
        <v>12</v>
      </c>
      <c r="O7" s="154">
        <v>13</v>
      </c>
      <c r="P7" s="154">
        <v>14</v>
      </c>
      <c r="Q7" s="154">
        <v>15</v>
      </c>
      <c r="R7" s="154">
        <v>16</v>
      </c>
      <c r="S7" s="162">
        <f>S8-C8</f>
        <v>5676.215999999957</v>
      </c>
    </row>
    <row r="8" spans="1:19" s="118" customFormat="1" ht="23.25" customHeight="1">
      <c r="A8" s="154"/>
      <c r="B8" s="155" t="s">
        <v>206</v>
      </c>
      <c r="C8" s="156">
        <f aca="true" t="shared" si="0" ref="C8:R8">SUM(C9:C40)</f>
        <v>249719.78400000004</v>
      </c>
      <c r="D8" s="156">
        <f t="shared" si="0"/>
        <v>143829.46399999998</v>
      </c>
      <c r="E8" s="156">
        <f t="shared" si="0"/>
        <v>0</v>
      </c>
      <c r="F8" s="156">
        <f t="shared" si="0"/>
        <v>3353.983</v>
      </c>
      <c r="G8" s="156">
        <f t="shared" si="0"/>
        <v>350</v>
      </c>
      <c r="H8" s="156">
        <f t="shared" si="0"/>
        <v>18525.915</v>
      </c>
      <c r="I8" s="156">
        <f t="shared" si="0"/>
        <v>2713.815</v>
      </c>
      <c r="J8" s="156">
        <f t="shared" si="0"/>
        <v>194</v>
      </c>
      <c r="K8" s="156">
        <f t="shared" si="0"/>
        <v>81</v>
      </c>
      <c r="L8" s="156">
        <f t="shared" si="0"/>
        <v>3000</v>
      </c>
      <c r="M8" s="156">
        <f t="shared" si="0"/>
        <v>19945.681</v>
      </c>
      <c r="N8" s="156">
        <f t="shared" si="0"/>
        <v>10694</v>
      </c>
      <c r="O8" s="156">
        <f t="shared" si="0"/>
        <v>5374.6810000000005</v>
      </c>
      <c r="P8" s="156">
        <f t="shared" si="0"/>
        <v>33838.357</v>
      </c>
      <c r="Q8" s="156">
        <f t="shared" si="0"/>
        <v>19105.169</v>
      </c>
      <c r="R8" s="156">
        <f t="shared" si="0"/>
        <v>4782.4</v>
      </c>
      <c r="S8" s="157">
        <v>255396</v>
      </c>
    </row>
    <row r="9" spans="1:19" s="144" customFormat="1" ht="29.25" customHeight="1">
      <c r="A9" s="158">
        <v>1</v>
      </c>
      <c r="B9" s="449" t="s">
        <v>322</v>
      </c>
      <c r="C9" s="450">
        <f>SUM(D9:M9,P9:R9)</f>
        <v>5182.626</v>
      </c>
      <c r="D9" s="165"/>
      <c r="E9" s="165"/>
      <c r="F9" s="159"/>
      <c r="G9" s="159"/>
      <c r="H9" s="159"/>
      <c r="I9" s="159"/>
      <c r="J9" s="159"/>
      <c r="K9" s="159"/>
      <c r="L9" s="159"/>
      <c r="M9" s="159">
        <v>0</v>
      </c>
      <c r="N9" s="159"/>
      <c r="O9" s="159"/>
      <c r="P9" s="159">
        <v>5182.626</v>
      </c>
      <c r="Q9" s="159"/>
      <c r="R9" s="159"/>
      <c r="S9" s="162"/>
    </row>
    <row r="10" spans="1:19" s="144" customFormat="1" ht="29.25" customHeight="1">
      <c r="A10" s="160">
        <v>2</v>
      </c>
      <c r="B10" s="149" t="s">
        <v>323</v>
      </c>
      <c r="C10" s="165">
        <f aca="true" t="shared" si="1" ref="C10:C40">SUM(D10:M10,P10:R10)</f>
        <v>104910.53499999999</v>
      </c>
      <c r="D10" s="451">
        <v>103520.381</v>
      </c>
      <c r="E10" s="164"/>
      <c r="F10" s="161"/>
      <c r="G10" s="161"/>
      <c r="H10" s="161"/>
      <c r="I10" s="161"/>
      <c r="J10" s="161"/>
      <c r="K10" s="161"/>
      <c r="L10" s="161"/>
      <c r="M10" s="159">
        <v>0</v>
      </c>
      <c r="N10" s="161"/>
      <c r="O10" s="161"/>
      <c r="P10" s="161">
        <v>1390.154</v>
      </c>
      <c r="Q10" s="161"/>
      <c r="R10" s="161"/>
      <c r="S10" s="150"/>
    </row>
    <row r="11" spans="1:19" s="145" customFormat="1" ht="29.25" customHeight="1">
      <c r="A11" s="160">
        <v>3</v>
      </c>
      <c r="B11" s="149" t="s">
        <v>324</v>
      </c>
      <c r="C11" s="450">
        <f t="shared" si="1"/>
        <v>1537.085</v>
      </c>
      <c r="D11" s="164"/>
      <c r="E11" s="164"/>
      <c r="F11" s="161"/>
      <c r="G11" s="161"/>
      <c r="H11" s="161"/>
      <c r="I11" s="161"/>
      <c r="J11" s="161"/>
      <c r="K11" s="161"/>
      <c r="L11" s="161"/>
      <c r="M11" s="159"/>
      <c r="N11" s="161"/>
      <c r="O11" s="161"/>
      <c r="P11" s="161">
        <v>1537.085</v>
      </c>
      <c r="Q11" s="161"/>
      <c r="R11" s="161"/>
      <c r="S11" s="150"/>
    </row>
    <row r="12" spans="1:19" s="145" customFormat="1" ht="29.25" customHeight="1">
      <c r="A12" s="160">
        <v>4</v>
      </c>
      <c r="B12" s="149" t="s">
        <v>325</v>
      </c>
      <c r="C12" s="165">
        <f t="shared" si="1"/>
        <v>1378.935</v>
      </c>
      <c r="D12" s="164"/>
      <c r="E12" s="164"/>
      <c r="F12" s="161"/>
      <c r="G12" s="161"/>
      <c r="H12" s="161"/>
      <c r="I12" s="161"/>
      <c r="J12" s="161"/>
      <c r="K12" s="161"/>
      <c r="L12" s="161"/>
      <c r="M12" s="159"/>
      <c r="N12" s="161"/>
      <c r="O12" s="161"/>
      <c r="P12" s="161">
        <v>1378.935</v>
      </c>
      <c r="Q12" s="161"/>
      <c r="R12" s="161"/>
      <c r="S12" s="162"/>
    </row>
    <row r="13" spans="1:19" s="145" customFormat="1" ht="29.25" customHeight="1">
      <c r="A13" s="160">
        <v>5</v>
      </c>
      <c r="B13" s="149" t="s">
        <v>326</v>
      </c>
      <c r="C13" s="165">
        <f t="shared" si="1"/>
        <v>3718.992</v>
      </c>
      <c r="D13" s="164"/>
      <c r="E13" s="164"/>
      <c r="F13" s="161"/>
      <c r="G13" s="161"/>
      <c r="H13" s="161"/>
      <c r="I13" s="161"/>
      <c r="J13" s="161"/>
      <c r="K13" s="161"/>
      <c r="L13" s="161"/>
      <c r="M13" s="159">
        <f>N13+O13</f>
        <v>2630</v>
      </c>
      <c r="N13" s="161"/>
      <c r="O13" s="161">
        <f>1330+1300</f>
        <v>2630</v>
      </c>
      <c r="P13" s="161">
        <f>841.542+198.45+29+20</f>
        <v>1088.992</v>
      </c>
      <c r="Q13" s="161"/>
      <c r="R13" s="161"/>
      <c r="S13" s="162"/>
    </row>
    <row r="14" spans="1:19" s="145" customFormat="1" ht="29.25" customHeight="1">
      <c r="A14" s="160">
        <v>6</v>
      </c>
      <c r="B14" s="149" t="s">
        <v>327</v>
      </c>
      <c r="C14" s="165">
        <f t="shared" si="1"/>
        <v>1400.5459999999998</v>
      </c>
      <c r="D14" s="164"/>
      <c r="E14" s="164"/>
      <c r="F14" s="161"/>
      <c r="G14" s="161"/>
      <c r="H14" s="161"/>
      <c r="I14" s="161">
        <v>720</v>
      </c>
      <c r="J14" s="161"/>
      <c r="K14" s="161"/>
      <c r="L14" s="161"/>
      <c r="M14" s="159">
        <v>0</v>
      </c>
      <c r="N14" s="161"/>
      <c r="O14" s="161"/>
      <c r="P14" s="161">
        <f>526.146+113.4+41</f>
        <v>680.5459999999999</v>
      </c>
      <c r="Q14" s="161"/>
      <c r="R14" s="161"/>
      <c r="S14" s="150"/>
    </row>
    <row r="15" spans="1:19" s="145" customFormat="1" ht="29.25" customHeight="1">
      <c r="A15" s="160">
        <v>7</v>
      </c>
      <c r="B15" s="149" t="s">
        <v>328</v>
      </c>
      <c r="C15" s="165">
        <f t="shared" si="1"/>
        <v>16506.493000000002</v>
      </c>
      <c r="D15" s="164"/>
      <c r="E15" s="164"/>
      <c r="F15" s="161"/>
      <c r="G15" s="161"/>
      <c r="H15" s="161"/>
      <c r="I15" s="161"/>
      <c r="J15" s="161"/>
      <c r="K15" s="161"/>
      <c r="L15" s="161"/>
      <c r="M15" s="159">
        <v>0</v>
      </c>
      <c r="N15" s="161"/>
      <c r="O15" s="161"/>
      <c r="P15" s="161">
        <f>757.343+198.45+37+20</f>
        <v>1012.7929999999999</v>
      </c>
      <c r="Q15" s="161">
        <v>15493.7</v>
      </c>
      <c r="R15" s="161"/>
      <c r="S15" s="150"/>
    </row>
    <row r="16" spans="1:19" s="145" customFormat="1" ht="36.75" customHeight="1">
      <c r="A16" s="163">
        <v>8</v>
      </c>
      <c r="B16" s="149" t="s">
        <v>329</v>
      </c>
      <c r="C16" s="450">
        <f t="shared" si="1"/>
        <v>14930.544</v>
      </c>
      <c r="D16" s="164"/>
      <c r="E16" s="164"/>
      <c r="F16" s="161"/>
      <c r="G16" s="161"/>
      <c r="H16" s="161"/>
      <c r="I16" s="161"/>
      <c r="J16" s="161"/>
      <c r="K16" s="161"/>
      <c r="L16" s="161"/>
      <c r="M16" s="159">
        <f>2775+6794+3900+300</f>
        <v>13769</v>
      </c>
      <c r="N16" s="161">
        <f>6794+3900</f>
        <v>10694</v>
      </c>
      <c r="O16" s="161"/>
      <c r="P16" s="161">
        <f>920.094+198.45+43</f>
        <v>1161.544</v>
      </c>
      <c r="Q16" s="161"/>
      <c r="R16" s="161"/>
      <c r="S16" s="150"/>
    </row>
    <row r="17" spans="1:18" s="145" customFormat="1" ht="29.25" customHeight="1">
      <c r="A17" s="160">
        <v>9</v>
      </c>
      <c r="B17" s="149" t="s">
        <v>342</v>
      </c>
      <c r="C17" s="165">
        <f t="shared" si="1"/>
        <v>4817.718</v>
      </c>
      <c r="D17" s="164"/>
      <c r="E17" s="164"/>
      <c r="F17" s="161"/>
      <c r="G17" s="161"/>
      <c r="H17" s="161"/>
      <c r="I17" s="161"/>
      <c r="J17" s="161"/>
      <c r="K17" s="161"/>
      <c r="L17" s="161">
        <v>3000</v>
      </c>
      <c r="M17" s="159">
        <v>802</v>
      </c>
      <c r="N17" s="161"/>
      <c r="O17" s="161"/>
      <c r="P17" s="161">
        <f>817.268+198.45</f>
        <v>1015.7180000000001</v>
      </c>
      <c r="Q17" s="161"/>
      <c r="R17" s="161"/>
    </row>
    <row r="18" spans="1:18" s="145" customFormat="1" ht="29.25" customHeight="1">
      <c r="A18" s="160">
        <v>10</v>
      </c>
      <c r="B18" s="149" t="s">
        <v>330</v>
      </c>
      <c r="C18" s="165">
        <f t="shared" si="1"/>
        <v>566.723</v>
      </c>
      <c r="D18" s="164"/>
      <c r="E18" s="164"/>
      <c r="F18" s="161"/>
      <c r="G18" s="161"/>
      <c r="H18" s="161"/>
      <c r="I18" s="161"/>
      <c r="J18" s="161"/>
      <c r="K18" s="161"/>
      <c r="L18" s="161"/>
      <c r="M18" s="159">
        <v>0</v>
      </c>
      <c r="N18" s="161"/>
      <c r="O18" s="161"/>
      <c r="P18" s="161">
        <f>566.723</f>
        <v>566.723</v>
      </c>
      <c r="Q18" s="161"/>
      <c r="R18" s="161"/>
    </row>
    <row r="19" spans="1:18" s="145" customFormat="1" ht="29.25" customHeight="1" hidden="1">
      <c r="A19" s="160"/>
      <c r="B19" s="149" t="s">
        <v>321</v>
      </c>
      <c r="C19" s="165">
        <f t="shared" si="1"/>
        <v>0</v>
      </c>
      <c r="D19" s="164"/>
      <c r="E19" s="164"/>
      <c r="F19" s="161"/>
      <c r="G19" s="161"/>
      <c r="H19" s="161"/>
      <c r="I19" s="161"/>
      <c r="J19" s="161"/>
      <c r="K19" s="161"/>
      <c r="L19" s="161"/>
      <c r="M19" s="159">
        <v>0</v>
      </c>
      <c r="N19" s="161"/>
      <c r="O19" s="161"/>
      <c r="P19" s="161">
        <v>0</v>
      </c>
      <c r="Q19" s="161"/>
      <c r="R19" s="161"/>
    </row>
    <row r="20" spans="1:18" s="145" customFormat="1" ht="29.25" customHeight="1">
      <c r="A20" s="160">
        <v>11</v>
      </c>
      <c r="B20" s="149" t="s">
        <v>289</v>
      </c>
      <c r="C20" s="165">
        <f t="shared" si="1"/>
        <v>504.132</v>
      </c>
      <c r="D20" s="164"/>
      <c r="E20" s="164"/>
      <c r="F20" s="161"/>
      <c r="G20" s="161"/>
      <c r="H20" s="161"/>
      <c r="I20" s="161"/>
      <c r="J20" s="161"/>
      <c r="K20" s="161"/>
      <c r="L20" s="161"/>
      <c r="M20" s="159">
        <v>0</v>
      </c>
      <c r="N20" s="161"/>
      <c r="O20" s="161"/>
      <c r="P20" s="161">
        <f>504.132</f>
        <v>504.132</v>
      </c>
      <c r="Q20" s="161"/>
      <c r="R20" s="161"/>
    </row>
    <row r="21" spans="1:18" s="166" customFormat="1" ht="29.25" customHeight="1">
      <c r="A21" s="160">
        <v>12</v>
      </c>
      <c r="B21" s="149" t="s">
        <v>341</v>
      </c>
      <c r="C21" s="165">
        <f>SUM(D21:M21,P21:R21)</f>
        <v>801.446</v>
      </c>
      <c r="D21" s="164"/>
      <c r="E21" s="164"/>
      <c r="F21" s="161"/>
      <c r="G21" s="161"/>
      <c r="H21" s="161"/>
      <c r="I21" s="161"/>
      <c r="J21" s="161"/>
      <c r="K21" s="161"/>
      <c r="L21" s="161"/>
      <c r="M21" s="159"/>
      <c r="N21" s="161"/>
      <c r="O21" s="161"/>
      <c r="P21" s="161">
        <f>444.47+113.4+3.576</f>
        <v>561.446</v>
      </c>
      <c r="Q21" s="161">
        <v>240</v>
      </c>
      <c r="R21" s="161"/>
    </row>
    <row r="22" spans="1:18" s="145" customFormat="1" ht="29.25" customHeight="1">
      <c r="A22" s="160">
        <v>13</v>
      </c>
      <c r="B22" s="149" t="s">
        <v>331</v>
      </c>
      <c r="C22" s="450">
        <f t="shared" si="1"/>
        <v>2268.815</v>
      </c>
      <c r="D22" s="164"/>
      <c r="E22" s="164"/>
      <c r="F22" s="161"/>
      <c r="G22" s="161"/>
      <c r="H22" s="161"/>
      <c r="I22" s="161">
        <v>1993.815</v>
      </c>
      <c r="J22" s="161">
        <v>194</v>
      </c>
      <c r="K22" s="161">
        <v>81</v>
      </c>
      <c r="L22" s="161"/>
      <c r="M22" s="159">
        <v>0</v>
      </c>
      <c r="N22" s="161"/>
      <c r="O22" s="161"/>
      <c r="P22" s="161"/>
      <c r="Q22" s="161"/>
      <c r="R22" s="161"/>
    </row>
    <row r="23" spans="1:18" s="145" customFormat="1" ht="29.25" customHeight="1">
      <c r="A23" s="160">
        <v>14</v>
      </c>
      <c r="B23" s="149" t="s">
        <v>332</v>
      </c>
      <c r="C23" s="165">
        <f t="shared" si="1"/>
        <v>2174.916</v>
      </c>
      <c r="D23" s="164">
        <f>2174.916</f>
        <v>2174.916</v>
      </c>
      <c r="E23" s="164"/>
      <c r="F23" s="161"/>
      <c r="G23" s="161"/>
      <c r="H23" s="161"/>
      <c r="I23" s="161"/>
      <c r="J23" s="161"/>
      <c r="K23" s="161"/>
      <c r="L23" s="161"/>
      <c r="M23" s="159">
        <v>0</v>
      </c>
      <c r="N23" s="161"/>
      <c r="O23" s="161"/>
      <c r="P23" s="161"/>
      <c r="Q23" s="161"/>
      <c r="R23" s="161"/>
    </row>
    <row r="24" spans="1:18" s="145" customFormat="1" ht="29.25" customHeight="1">
      <c r="A24" s="160">
        <v>15</v>
      </c>
      <c r="B24" s="149" t="s">
        <v>391</v>
      </c>
      <c r="C24" s="165">
        <f t="shared" si="1"/>
        <v>9487.722</v>
      </c>
      <c r="D24" s="164">
        <v>9487.722</v>
      </c>
      <c r="E24" s="164"/>
      <c r="F24" s="161"/>
      <c r="G24" s="161"/>
      <c r="H24" s="161"/>
      <c r="I24" s="161"/>
      <c r="J24" s="161"/>
      <c r="K24" s="161"/>
      <c r="L24" s="161"/>
      <c r="M24" s="159"/>
      <c r="N24" s="161"/>
      <c r="O24" s="161"/>
      <c r="P24" s="161"/>
      <c r="Q24" s="161"/>
      <c r="R24" s="161"/>
    </row>
    <row r="25" spans="1:18" s="146" customFormat="1" ht="29.25" customHeight="1">
      <c r="A25" s="160">
        <v>16</v>
      </c>
      <c r="B25" s="452" t="s">
        <v>293</v>
      </c>
      <c r="C25" s="450">
        <f>SUM(D25:M25,P25:R25)</f>
        <v>1496.681</v>
      </c>
      <c r="D25" s="164"/>
      <c r="E25" s="164"/>
      <c r="F25" s="161"/>
      <c r="G25" s="161"/>
      <c r="H25" s="161"/>
      <c r="I25" s="161"/>
      <c r="J25" s="161"/>
      <c r="K25" s="161"/>
      <c r="L25" s="161"/>
      <c r="M25" s="159">
        <f>SUM(N25:O25)</f>
        <v>1496.681</v>
      </c>
      <c r="N25" s="161"/>
      <c r="O25" s="161">
        <v>1496.681</v>
      </c>
      <c r="P25" s="161"/>
      <c r="Q25" s="161"/>
      <c r="R25" s="161"/>
    </row>
    <row r="26" spans="1:18" s="145" customFormat="1" ht="29.25" customHeight="1">
      <c r="A26" s="160">
        <v>17</v>
      </c>
      <c r="B26" s="149" t="s">
        <v>343</v>
      </c>
      <c r="C26" s="165">
        <f t="shared" si="1"/>
        <v>685.445</v>
      </c>
      <c r="D26" s="164">
        <v>685.445</v>
      </c>
      <c r="E26" s="164"/>
      <c r="F26" s="161"/>
      <c r="G26" s="161"/>
      <c r="H26" s="161"/>
      <c r="I26" s="161"/>
      <c r="J26" s="161"/>
      <c r="K26" s="161"/>
      <c r="L26" s="161"/>
      <c r="M26" s="159">
        <v>0</v>
      </c>
      <c r="N26" s="161"/>
      <c r="O26" s="161"/>
      <c r="P26" s="161"/>
      <c r="Q26" s="161"/>
      <c r="R26" s="161"/>
    </row>
    <row r="27" spans="1:18" s="144" customFormat="1" ht="29.25" customHeight="1">
      <c r="A27" s="160">
        <v>18</v>
      </c>
      <c r="B27" s="149" t="s">
        <v>333</v>
      </c>
      <c r="C27" s="450">
        <f t="shared" si="1"/>
        <v>7652.003</v>
      </c>
      <c r="D27" s="164"/>
      <c r="E27" s="164"/>
      <c r="F27" s="161"/>
      <c r="G27" s="161"/>
      <c r="H27" s="161"/>
      <c r="I27" s="161"/>
      <c r="J27" s="161"/>
      <c r="K27" s="161"/>
      <c r="L27" s="161"/>
      <c r="M27" s="159">
        <v>0</v>
      </c>
      <c r="N27" s="161"/>
      <c r="O27" s="161"/>
      <c r="P27" s="161">
        <v>7652.003</v>
      </c>
      <c r="Q27" s="161"/>
      <c r="R27" s="161"/>
    </row>
    <row r="28" spans="1:18" s="144" customFormat="1" ht="29.25" customHeight="1">
      <c r="A28" s="160">
        <v>19</v>
      </c>
      <c r="B28" s="149" t="s">
        <v>334</v>
      </c>
      <c r="C28" s="165">
        <f t="shared" si="1"/>
        <v>960.786</v>
      </c>
      <c r="D28" s="164"/>
      <c r="E28" s="164"/>
      <c r="F28" s="161"/>
      <c r="G28" s="161"/>
      <c r="H28" s="161"/>
      <c r="I28" s="161"/>
      <c r="J28" s="161"/>
      <c r="K28" s="161"/>
      <c r="L28" s="161"/>
      <c r="M28" s="159">
        <v>0</v>
      </c>
      <c r="N28" s="161"/>
      <c r="O28" s="161"/>
      <c r="P28" s="161">
        <f>699.036+141.75+20</f>
        <v>860.786</v>
      </c>
      <c r="Q28" s="161">
        <v>100</v>
      </c>
      <c r="R28" s="161"/>
    </row>
    <row r="29" spans="1:18" s="145" customFormat="1" ht="29.25" customHeight="1">
      <c r="A29" s="160">
        <v>20</v>
      </c>
      <c r="B29" s="149" t="s">
        <v>290</v>
      </c>
      <c r="C29" s="165">
        <f t="shared" si="1"/>
        <v>751.657</v>
      </c>
      <c r="D29" s="164"/>
      <c r="E29" s="164"/>
      <c r="F29" s="164"/>
      <c r="G29" s="164"/>
      <c r="H29" s="164"/>
      <c r="I29" s="164"/>
      <c r="J29" s="164"/>
      <c r="K29" s="164"/>
      <c r="L29" s="164"/>
      <c r="M29" s="165">
        <v>0</v>
      </c>
      <c r="N29" s="164"/>
      <c r="O29" s="164"/>
      <c r="P29" s="164">
        <v>751.657</v>
      </c>
      <c r="Q29" s="164"/>
      <c r="R29" s="164"/>
    </row>
    <row r="30" spans="1:18" s="145" customFormat="1" ht="29.25" customHeight="1">
      <c r="A30" s="160">
        <v>21</v>
      </c>
      <c r="B30" s="149" t="s">
        <v>335</v>
      </c>
      <c r="C30" s="165">
        <f t="shared" si="1"/>
        <v>712.99</v>
      </c>
      <c r="D30" s="164"/>
      <c r="E30" s="164"/>
      <c r="F30" s="161"/>
      <c r="G30" s="161"/>
      <c r="H30" s="161"/>
      <c r="I30" s="161"/>
      <c r="J30" s="161"/>
      <c r="K30" s="161"/>
      <c r="L30" s="161"/>
      <c r="M30" s="159">
        <v>0</v>
      </c>
      <c r="N30" s="161"/>
      <c r="O30" s="161"/>
      <c r="P30" s="161">
        <v>712.99</v>
      </c>
      <c r="Q30" s="161"/>
      <c r="R30" s="161"/>
    </row>
    <row r="31" spans="1:18" s="145" customFormat="1" ht="29.25" customHeight="1">
      <c r="A31" s="160">
        <v>22</v>
      </c>
      <c r="B31" s="149" t="s">
        <v>291</v>
      </c>
      <c r="C31" s="165">
        <f t="shared" si="1"/>
        <v>960.562</v>
      </c>
      <c r="D31" s="164"/>
      <c r="E31" s="164"/>
      <c r="F31" s="161"/>
      <c r="G31" s="161"/>
      <c r="H31" s="161"/>
      <c r="I31" s="161"/>
      <c r="J31" s="161"/>
      <c r="K31" s="161"/>
      <c r="L31" s="161"/>
      <c r="M31" s="159">
        <v>0</v>
      </c>
      <c r="N31" s="161"/>
      <c r="O31" s="161"/>
      <c r="P31" s="161">
        <v>960.562</v>
      </c>
      <c r="Q31" s="161"/>
      <c r="R31" s="161"/>
    </row>
    <row r="32" spans="1:18" s="145" customFormat="1" ht="29.25" customHeight="1">
      <c r="A32" s="160">
        <v>23</v>
      </c>
      <c r="B32" s="149" t="s">
        <v>292</v>
      </c>
      <c r="C32" s="165">
        <f t="shared" si="1"/>
        <v>487.646</v>
      </c>
      <c r="D32" s="164"/>
      <c r="E32" s="164"/>
      <c r="F32" s="161"/>
      <c r="G32" s="161"/>
      <c r="H32" s="161"/>
      <c r="I32" s="161"/>
      <c r="J32" s="161"/>
      <c r="K32" s="161"/>
      <c r="L32" s="161"/>
      <c r="M32" s="159">
        <v>0</v>
      </c>
      <c r="N32" s="161"/>
      <c r="O32" s="161"/>
      <c r="P32" s="161">
        <v>487.646</v>
      </c>
      <c r="Q32" s="161"/>
      <c r="R32" s="161"/>
    </row>
    <row r="33" spans="1:18" s="145" customFormat="1" ht="29.25" customHeight="1">
      <c r="A33" s="160">
        <v>24</v>
      </c>
      <c r="B33" s="149" t="s">
        <v>336</v>
      </c>
      <c r="C33" s="165">
        <f t="shared" si="1"/>
        <v>181.668</v>
      </c>
      <c r="D33" s="164"/>
      <c r="E33" s="164"/>
      <c r="F33" s="161"/>
      <c r="G33" s="161"/>
      <c r="H33" s="161"/>
      <c r="I33" s="161"/>
      <c r="J33" s="161"/>
      <c r="K33" s="161"/>
      <c r="L33" s="161"/>
      <c r="M33" s="159">
        <v>0</v>
      </c>
      <c r="N33" s="161"/>
      <c r="O33" s="161"/>
      <c r="P33" s="161">
        <v>181.668</v>
      </c>
      <c r="Q33" s="161"/>
      <c r="R33" s="161"/>
    </row>
    <row r="34" spans="1:18" s="118" customFormat="1" ht="29.25" customHeight="1">
      <c r="A34" s="160">
        <v>25</v>
      </c>
      <c r="B34" s="149" t="s">
        <v>337</v>
      </c>
      <c r="C34" s="165">
        <f t="shared" si="1"/>
        <v>115.596</v>
      </c>
      <c r="D34" s="164"/>
      <c r="E34" s="164"/>
      <c r="F34" s="161"/>
      <c r="G34" s="161"/>
      <c r="H34" s="161"/>
      <c r="I34" s="161"/>
      <c r="J34" s="161"/>
      <c r="K34" s="161"/>
      <c r="L34" s="161"/>
      <c r="M34" s="159">
        <v>0</v>
      </c>
      <c r="N34" s="161"/>
      <c r="O34" s="161"/>
      <c r="P34" s="161">
        <v>115.596</v>
      </c>
      <c r="Q34" s="161"/>
      <c r="R34" s="161"/>
    </row>
    <row r="35" spans="1:18" s="166" customFormat="1" ht="29.25" customHeight="1">
      <c r="A35" s="160">
        <v>26</v>
      </c>
      <c r="B35" s="149" t="s">
        <v>338</v>
      </c>
      <c r="C35" s="165">
        <f t="shared" si="1"/>
        <v>115.596</v>
      </c>
      <c r="D35" s="164"/>
      <c r="E35" s="164"/>
      <c r="F35" s="161"/>
      <c r="G35" s="161"/>
      <c r="H35" s="161"/>
      <c r="I35" s="161"/>
      <c r="J35" s="161"/>
      <c r="K35" s="161"/>
      <c r="L35" s="161"/>
      <c r="M35" s="159">
        <v>0</v>
      </c>
      <c r="N35" s="161"/>
      <c r="O35" s="161"/>
      <c r="P35" s="161">
        <v>115.596</v>
      </c>
      <c r="Q35" s="161"/>
      <c r="R35" s="161"/>
    </row>
    <row r="36" spans="1:18" ht="29.25" customHeight="1">
      <c r="A36" s="160">
        <v>27</v>
      </c>
      <c r="B36" s="149" t="s">
        <v>339</v>
      </c>
      <c r="C36" s="165">
        <f t="shared" si="1"/>
        <v>3353.983</v>
      </c>
      <c r="D36" s="164"/>
      <c r="E36" s="164"/>
      <c r="F36" s="161">
        <v>3353.983</v>
      </c>
      <c r="G36" s="161"/>
      <c r="H36" s="161"/>
      <c r="I36" s="161"/>
      <c r="J36" s="161"/>
      <c r="K36" s="161"/>
      <c r="L36" s="161"/>
      <c r="M36" s="159">
        <v>0</v>
      </c>
      <c r="N36" s="161"/>
      <c r="O36" s="161"/>
      <c r="P36" s="161"/>
      <c r="Q36" s="161"/>
      <c r="R36" s="161"/>
    </row>
    <row r="37" spans="1:18" s="145" customFormat="1" ht="29.25" customHeight="1">
      <c r="A37" s="160">
        <v>28</v>
      </c>
      <c r="B37" s="149" t="s">
        <v>294</v>
      </c>
      <c r="C37" s="165">
        <f t="shared" si="1"/>
        <v>350</v>
      </c>
      <c r="D37" s="164"/>
      <c r="E37" s="164"/>
      <c r="F37" s="161"/>
      <c r="G37" s="161">
        <v>350</v>
      </c>
      <c r="H37" s="161"/>
      <c r="I37" s="161"/>
      <c r="J37" s="161"/>
      <c r="K37" s="161"/>
      <c r="L37" s="161"/>
      <c r="M37" s="159">
        <v>0</v>
      </c>
      <c r="N37" s="161"/>
      <c r="O37" s="161"/>
      <c r="P37" s="161"/>
      <c r="Q37" s="161"/>
      <c r="R37" s="161"/>
    </row>
    <row r="38" spans="1:18" s="145" customFormat="1" ht="61.5" customHeight="1">
      <c r="A38" s="160">
        <v>29</v>
      </c>
      <c r="B38" s="149" t="s">
        <v>340</v>
      </c>
      <c r="C38" s="465">
        <f t="shared" si="1"/>
        <v>19082.295000000002</v>
      </c>
      <c r="D38" s="164"/>
      <c r="E38" s="164"/>
      <c r="F38" s="161"/>
      <c r="G38" s="161"/>
      <c r="H38" s="161">
        <v>18525.915</v>
      </c>
      <c r="I38" s="161"/>
      <c r="J38" s="161"/>
      <c r="K38" s="161"/>
      <c r="L38" s="161"/>
      <c r="M38" s="159">
        <v>0</v>
      </c>
      <c r="N38" s="161"/>
      <c r="O38" s="161"/>
      <c r="P38" s="161"/>
      <c r="Q38" s="161">
        <v>556.38</v>
      </c>
      <c r="R38" s="161"/>
    </row>
    <row r="39" spans="1:18" s="145" customFormat="1" ht="123.75" customHeight="1">
      <c r="A39" s="160">
        <v>30</v>
      </c>
      <c r="B39" s="453" t="s">
        <v>408</v>
      </c>
      <c r="C39" s="465">
        <f t="shared" si="1"/>
        <v>350</v>
      </c>
      <c r="D39" s="454"/>
      <c r="E39" s="454"/>
      <c r="F39" s="289"/>
      <c r="G39" s="289"/>
      <c r="H39" s="289"/>
      <c r="I39" s="289"/>
      <c r="J39" s="289"/>
      <c r="K39" s="289"/>
      <c r="L39" s="289"/>
      <c r="M39" s="290"/>
      <c r="N39" s="289"/>
      <c r="O39" s="289"/>
      <c r="P39" s="289"/>
      <c r="Q39" s="289"/>
      <c r="R39" s="289">
        <v>350</v>
      </c>
    </row>
    <row r="40" spans="1:18" s="118" customFormat="1" ht="45.75" customHeight="1">
      <c r="A40" s="457">
        <v>31</v>
      </c>
      <c r="B40" s="455" t="s">
        <v>353</v>
      </c>
      <c r="C40" s="465">
        <f t="shared" si="1"/>
        <v>42275.648</v>
      </c>
      <c r="D40" s="456">
        <f>16000+6500+5461</f>
        <v>27961</v>
      </c>
      <c r="E40" s="456"/>
      <c r="F40" s="167"/>
      <c r="G40" s="167"/>
      <c r="H40" s="167"/>
      <c r="I40" s="167"/>
      <c r="J40" s="167"/>
      <c r="K40" s="167"/>
      <c r="L40" s="167"/>
      <c r="M40" s="167">
        <v>1248</v>
      </c>
      <c r="N40" s="167"/>
      <c r="O40" s="167">
        <v>1248</v>
      </c>
      <c r="P40" s="167">
        <f>1109.5+1300+704+150+2050+6066.659-5461</f>
        <v>5919.159</v>
      </c>
      <c r="Q40" s="167">
        <f>2715.089</f>
        <v>2715.089</v>
      </c>
      <c r="R40" s="167">
        <f>2117+2273.4+42</f>
        <v>4432.4</v>
      </c>
    </row>
    <row r="41" s="145" customFormat="1" ht="14.25">
      <c r="A41" s="147"/>
    </row>
    <row r="43" ht="14.25">
      <c r="P43" s="268"/>
    </row>
  </sheetData>
  <sheetProtection/>
  <mergeCells count="19">
    <mergeCell ref="A3:R3"/>
    <mergeCell ref="F5:F6"/>
    <mergeCell ref="A2:R2"/>
    <mergeCell ref="I5:I6"/>
    <mergeCell ref="J5:J6"/>
    <mergeCell ref="M5:M6"/>
    <mergeCell ref="N5:O5"/>
    <mergeCell ref="P5:P6"/>
    <mergeCell ref="Q5:Q6"/>
    <mergeCell ref="R5:R6"/>
    <mergeCell ref="G5:G6"/>
    <mergeCell ref="H5:H6"/>
    <mergeCell ref="K5:K6"/>
    <mergeCell ref="L5:L6"/>
    <mergeCell ref="A5:A6"/>
    <mergeCell ref="B5:B6"/>
    <mergeCell ref="C5:C6"/>
    <mergeCell ref="D5:D6"/>
    <mergeCell ref="E5:E6"/>
  </mergeCells>
  <printOptions/>
  <pageMargins left="0.24" right="0.17" top="0.32" bottom="0.31" header="0.3" footer="0.3"/>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FF0000"/>
  </sheetPr>
  <dimension ref="A1:V21"/>
  <sheetViews>
    <sheetView zoomScalePageLayoutView="0" workbookViewId="0" topLeftCell="A4">
      <selection activeCell="V13" sqref="V13"/>
    </sheetView>
  </sheetViews>
  <sheetFormatPr defaultColWidth="9.00390625" defaultRowHeight="14.25"/>
  <cols>
    <col min="1" max="1" width="3.75390625" style="183" customWidth="1"/>
    <col min="2" max="2" width="18.75390625" style="183" customWidth="1"/>
    <col min="3" max="3" width="11.25390625" style="183" customWidth="1"/>
    <col min="4" max="4" width="7.375" style="183" customWidth="1"/>
    <col min="5" max="5" width="5.875" style="183" customWidth="1"/>
    <col min="6" max="6" width="8.375" style="183" customWidth="1"/>
    <col min="7" max="7" width="8.625" style="183" customWidth="1"/>
    <col min="8" max="8" width="4.875" style="183" customWidth="1"/>
    <col min="9" max="9" width="9.50390625" style="183" customWidth="1"/>
    <col min="10" max="10" width="6.50390625" style="183" customWidth="1"/>
    <col min="11" max="11" width="7.125" style="183" customWidth="1"/>
    <col min="12" max="12" width="8.25390625" style="183" customWidth="1"/>
    <col min="13" max="13" width="8.75390625" style="183" customWidth="1"/>
    <col min="14" max="14" width="9.50390625" style="183" customWidth="1"/>
    <col min="15" max="15" width="7.75390625" style="183" customWidth="1"/>
    <col min="16" max="16" width="10.875" style="183" customWidth="1"/>
    <col min="17" max="17" width="8.25390625" style="183" customWidth="1"/>
    <col min="18" max="18" width="7.125" style="183" customWidth="1"/>
    <col min="19" max="19" width="9.375" style="183" customWidth="1"/>
    <col min="20" max="20" width="13.875" style="183" customWidth="1"/>
    <col min="21" max="16384" width="9.00390625" style="183" customWidth="1"/>
  </cols>
  <sheetData>
    <row r="1" spans="17:19" ht="15">
      <c r="Q1" s="497" t="s">
        <v>182</v>
      </c>
      <c r="R1" s="497"/>
      <c r="S1" s="497"/>
    </row>
    <row r="2" spans="1:19" ht="21" customHeight="1">
      <c r="A2" s="498" t="s">
        <v>301</v>
      </c>
      <c r="B2" s="498"/>
      <c r="C2" s="498"/>
      <c r="D2" s="498"/>
      <c r="E2" s="498"/>
      <c r="F2" s="498"/>
      <c r="G2" s="498"/>
      <c r="H2" s="498"/>
      <c r="I2" s="498"/>
      <c r="J2" s="498"/>
      <c r="K2" s="498"/>
      <c r="L2" s="498"/>
      <c r="M2" s="498"/>
      <c r="N2" s="498"/>
      <c r="O2" s="498"/>
      <c r="P2" s="498"/>
      <c r="Q2" s="498"/>
      <c r="R2" s="498"/>
      <c r="S2" s="498"/>
    </row>
    <row r="3" spans="1:19" ht="16.5" customHeight="1">
      <c r="A3" s="488" t="str">
        <f>'15'!A3:G3</f>
        <v>(Kèm theo Tờ trình số         /TTr-HĐND  ngày        tháng 12 năm 2022 của UBND huyện Hạ Lang)</v>
      </c>
      <c r="B3" s="488"/>
      <c r="C3" s="488"/>
      <c r="D3" s="488"/>
      <c r="E3" s="488"/>
      <c r="F3" s="488"/>
      <c r="G3" s="488"/>
      <c r="H3" s="488"/>
      <c r="I3" s="488"/>
      <c r="J3" s="488"/>
      <c r="K3" s="488"/>
      <c r="L3" s="488"/>
      <c r="M3" s="488"/>
      <c r="N3" s="488"/>
      <c r="O3" s="488"/>
      <c r="P3" s="488"/>
      <c r="Q3" s="488"/>
      <c r="R3" s="488"/>
      <c r="S3" s="488"/>
    </row>
    <row r="4" spans="16:19" ht="15">
      <c r="P4" s="499" t="s">
        <v>208</v>
      </c>
      <c r="Q4" s="499"/>
      <c r="R4" s="499"/>
      <c r="S4" s="499"/>
    </row>
    <row r="5" spans="1:19" ht="18.75" customHeight="1">
      <c r="A5" s="485" t="s">
        <v>4</v>
      </c>
      <c r="B5" s="485" t="s">
        <v>239</v>
      </c>
      <c r="C5" s="485" t="s">
        <v>210</v>
      </c>
      <c r="D5" s="485" t="s">
        <v>83</v>
      </c>
      <c r="E5" s="485" t="s">
        <v>84</v>
      </c>
      <c r="F5" s="485" t="s">
        <v>144</v>
      </c>
      <c r="G5" s="485" t="s">
        <v>145</v>
      </c>
      <c r="H5" s="485" t="s">
        <v>146</v>
      </c>
      <c r="I5" s="485" t="s">
        <v>147</v>
      </c>
      <c r="J5" s="485" t="s">
        <v>148</v>
      </c>
      <c r="K5" s="485" t="s">
        <v>149</v>
      </c>
      <c r="L5" s="485" t="s">
        <v>150</v>
      </c>
      <c r="M5" s="485" t="s">
        <v>151</v>
      </c>
      <c r="N5" s="485" t="s">
        <v>257</v>
      </c>
      <c r="O5" s="485"/>
      <c r="P5" s="485" t="s">
        <v>152</v>
      </c>
      <c r="Q5" s="485" t="s">
        <v>153</v>
      </c>
      <c r="R5" s="485" t="s">
        <v>258</v>
      </c>
      <c r="S5" s="485" t="s">
        <v>259</v>
      </c>
    </row>
    <row r="6" spans="1:19" ht="119.25" customHeight="1">
      <c r="A6" s="485"/>
      <c r="B6" s="485"/>
      <c r="C6" s="485"/>
      <c r="D6" s="485"/>
      <c r="E6" s="485"/>
      <c r="F6" s="485"/>
      <c r="G6" s="485"/>
      <c r="H6" s="485"/>
      <c r="I6" s="485"/>
      <c r="J6" s="485"/>
      <c r="K6" s="485"/>
      <c r="L6" s="485"/>
      <c r="M6" s="485"/>
      <c r="N6" s="114" t="s">
        <v>260</v>
      </c>
      <c r="O6" s="114" t="s">
        <v>261</v>
      </c>
      <c r="P6" s="485"/>
      <c r="Q6" s="485"/>
      <c r="R6" s="485"/>
      <c r="S6" s="485"/>
    </row>
    <row r="7" spans="1:19" s="186" customFormat="1" ht="15" customHeight="1">
      <c r="A7" s="184" t="s">
        <v>6</v>
      </c>
      <c r="B7" s="184" t="s">
        <v>7</v>
      </c>
      <c r="C7" s="184">
        <v>1</v>
      </c>
      <c r="D7" s="184">
        <v>2</v>
      </c>
      <c r="E7" s="184">
        <v>3</v>
      </c>
      <c r="F7" s="184">
        <v>4</v>
      </c>
      <c r="G7" s="184">
        <v>5</v>
      </c>
      <c r="H7" s="184">
        <v>6</v>
      </c>
      <c r="I7" s="184">
        <v>7</v>
      </c>
      <c r="J7" s="184">
        <v>8</v>
      </c>
      <c r="K7" s="184">
        <v>9</v>
      </c>
      <c r="L7" s="184">
        <v>10</v>
      </c>
      <c r="M7" s="184">
        <v>11</v>
      </c>
      <c r="N7" s="184">
        <v>12</v>
      </c>
      <c r="O7" s="184">
        <v>13</v>
      </c>
      <c r="P7" s="184">
        <v>14</v>
      </c>
      <c r="Q7" s="184">
        <v>15</v>
      </c>
      <c r="R7" s="184">
        <v>16</v>
      </c>
      <c r="S7" s="185">
        <v>17</v>
      </c>
    </row>
    <row r="8" spans="1:22" s="187" customFormat="1" ht="15.75" customHeight="1">
      <c r="A8" s="114"/>
      <c r="B8" s="114" t="s">
        <v>206</v>
      </c>
      <c r="C8" s="205">
        <f>SUM(C9:C21)</f>
        <v>51004000</v>
      </c>
      <c r="D8" s="207">
        <f aca="true" t="shared" si="0" ref="D8:S8">SUM(D9:D21)</f>
        <v>534196</v>
      </c>
      <c r="E8" s="205">
        <f t="shared" si="0"/>
        <v>0</v>
      </c>
      <c r="F8" s="207">
        <f t="shared" si="0"/>
        <v>520000</v>
      </c>
      <c r="G8" s="207">
        <f t="shared" si="0"/>
        <v>2212000</v>
      </c>
      <c r="H8" s="205">
        <f t="shared" si="0"/>
        <v>0</v>
      </c>
      <c r="I8" s="207">
        <f t="shared" si="0"/>
        <v>234000</v>
      </c>
      <c r="J8" s="205">
        <f t="shared" si="0"/>
        <v>0</v>
      </c>
      <c r="K8" s="207">
        <f t="shared" si="0"/>
        <v>351000</v>
      </c>
      <c r="L8" s="205">
        <f t="shared" si="0"/>
        <v>0</v>
      </c>
      <c r="M8" s="207">
        <f t="shared" si="0"/>
        <v>396000</v>
      </c>
      <c r="N8" s="205">
        <f t="shared" si="0"/>
        <v>396000</v>
      </c>
      <c r="O8" s="205">
        <f t="shared" si="0"/>
        <v>0</v>
      </c>
      <c r="P8" s="205">
        <f t="shared" si="0"/>
        <v>46034659</v>
      </c>
      <c r="Q8" s="207">
        <f t="shared" si="0"/>
        <v>267145</v>
      </c>
      <c r="R8" s="205">
        <f t="shared" si="0"/>
        <v>0</v>
      </c>
      <c r="S8" s="207">
        <f t="shared" si="0"/>
        <v>455000</v>
      </c>
      <c r="T8" s="247">
        <f>SUM(T9:T21)</f>
        <v>0</v>
      </c>
      <c r="U8" s="247">
        <f>SUM(U9:U21)</f>
        <v>0</v>
      </c>
      <c r="V8" s="247">
        <f>SUM(V9:V21)</f>
        <v>0</v>
      </c>
    </row>
    <row r="9" spans="1:19" s="186" customFormat="1" ht="17.25" customHeight="1">
      <c r="A9" s="198">
        <v>1</v>
      </c>
      <c r="B9" s="199" t="s">
        <v>308</v>
      </c>
      <c r="C9" s="206">
        <f>SUM(D9:M9,P9:S9)</f>
        <v>4054000</v>
      </c>
      <c r="D9" s="200">
        <v>41092</v>
      </c>
      <c r="E9" s="201"/>
      <c r="F9" s="200">
        <v>40000</v>
      </c>
      <c r="G9" s="200">
        <v>280000</v>
      </c>
      <c r="H9" s="201"/>
      <c r="I9" s="200">
        <v>18000</v>
      </c>
      <c r="J9" s="201"/>
      <c r="K9" s="200">
        <v>27000</v>
      </c>
      <c r="L9" s="200"/>
      <c r="M9" s="200">
        <v>39000</v>
      </c>
      <c r="N9" s="200">
        <f>M9</f>
        <v>39000</v>
      </c>
      <c r="O9" s="201"/>
      <c r="P9" s="202">
        <f>3548000+518</f>
        <v>3548518</v>
      </c>
      <c r="Q9" s="203">
        <v>25390</v>
      </c>
      <c r="R9" s="203"/>
      <c r="S9" s="204">
        <v>35000</v>
      </c>
    </row>
    <row r="10" spans="1:19" s="186" customFormat="1" ht="17.25" customHeight="1">
      <c r="A10" s="126">
        <v>2</v>
      </c>
      <c r="B10" s="127" t="s">
        <v>309</v>
      </c>
      <c r="C10" s="200">
        <f aca="true" t="shared" si="1" ref="C10:C21">SUM(D10:M10,P10:S10)</f>
        <v>3882000</v>
      </c>
      <c r="D10" s="119">
        <v>41092</v>
      </c>
      <c r="E10" s="188"/>
      <c r="F10" s="200">
        <v>40000</v>
      </c>
      <c r="G10" s="200">
        <v>280000</v>
      </c>
      <c r="H10" s="188"/>
      <c r="I10" s="119">
        <v>18000</v>
      </c>
      <c r="J10" s="188"/>
      <c r="K10" s="119">
        <v>27000</v>
      </c>
      <c r="L10" s="119"/>
      <c r="M10" s="119">
        <v>36000</v>
      </c>
      <c r="N10" s="119">
        <f>M10</f>
        <v>36000</v>
      </c>
      <c r="O10" s="188"/>
      <c r="P10" s="189">
        <f>3333000-577</f>
        <v>3332423</v>
      </c>
      <c r="Q10" s="190">
        <v>72485</v>
      </c>
      <c r="R10" s="190"/>
      <c r="S10" s="191">
        <v>35000</v>
      </c>
    </row>
    <row r="11" spans="1:19" s="186" customFormat="1" ht="17.25" customHeight="1">
      <c r="A11" s="126">
        <v>3</v>
      </c>
      <c r="B11" s="127" t="s">
        <v>310</v>
      </c>
      <c r="C11" s="200">
        <f t="shared" si="1"/>
        <v>3949000</v>
      </c>
      <c r="D11" s="119">
        <v>41092</v>
      </c>
      <c r="E11" s="188"/>
      <c r="F11" s="200">
        <v>40000</v>
      </c>
      <c r="G11" s="200">
        <v>280000</v>
      </c>
      <c r="H11" s="188"/>
      <c r="I11" s="119">
        <v>18000</v>
      </c>
      <c r="J11" s="188"/>
      <c r="K11" s="119">
        <v>27000</v>
      </c>
      <c r="L11" s="119"/>
      <c r="M11" s="119">
        <v>45900</v>
      </c>
      <c r="N11" s="119">
        <f aca="true" t="shared" si="2" ref="N11:N21">M11</f>
        <v>45900</v>
      </c>
      <c r="O11" s="188"/>
      <c r="P11" s="189">
        <f>3439000-540</f>
        <v>3438460</v>
      </c>
      <c r="Q11" s="190">
        <v>23548</v>
      </c>
      <c r="R11" s="190"/>
      <c r="S11" s="191">
        <v>35000</v>
      </c>
    </row>
    <row r="12" spans="1:19" s="186" customFormat="1" ht="17.25" customHeight="1">
      <c r="A12" s="126">
        <v>4</v>
      </c>
      <c r="B12" s="127" t="s">
        <v>311</v>
      </c>
      <c r="C12" s="200">
        <f t="shared" si="1"/>
        <v>3639000</v>
      </c>
      <c r="D12" s="119">
        <v>41092</v>
      </c>
      <c r="E12" s="192"/>
      <c r="F12" s="200">
        <v>40000</v>
      </c>
      <c r="G12" s="200">
        <v>40000</v>
      </c>
      <c r="H12" s="192"/>
      <c r="I12" s="119">
        <v>18000</v>
      </c>
      <c r="J12" s="192"/>
      <c r="K12" s="119">
        <v>27000</v>
      </c>
      <c r="L12" s="119"/>
      <c r="M12" s="119">
        <v>48300</v>
      </c>
      <c r="N12" s="119">
        <f t="shared" si="2"/>
        <v>48300</v>
      </c>
      <c r="O12" s="192"/>
      <c r="P12" s="189">
        <f>3366000+60</f>
        <v>3366060</v>
      </c>
      <c r="Q12" s="193">
        <v>23548</v>
      </c>
      <c r="R12" s="193"/>
      <c r="S12" s="191">
        <v>35000</v>
      </c>
    </row>
    <row r="13" spans="1:19" s="186" customFormat="1" ht="17.25" customHeight="1">
      <c r="A13" s="126">
        <v>5</v>
      </c>
      <c r="B13" s="127" t="s">
        <v>312</v>
      </c>
      <c r="C13" s="200">
        <f t="shared" si="1"/>
        <v>3481000</v>
      </c>
      <c r="D13" s="119">
        <v>41092</v>
      </c>
      <c r="E13" s="192"/>
      <c r="F13" s="200">
        <v>40000</v>
      </c>
      <c r="G13" s="200">
        <v>40000</v>
      </c>
      <c r="H13" s="192"/>
      <c r="I13" s="119">
        <v>18000</v>
      </c>
      <c r="J13" s="192"/>
      <c r="K13" s="119">
        <v>27000</v>
      </c>
      <c r="L13" s="119"/>
      <c r="M13" s="119">
        <v>20700</v>
      </c>
      <c r="N13" s="119">
        <f t="shared" si="2"/>
        <v>20700</v>
      </c>
      <c r="O13" s="192"/>
      <c r="P13" s="189">
        <f>3235000+660</f>
        <v>3235660</v>
      </c>
      <c r="Q13" s="193">
        <v>23548</v>
      </c>
      <c r="R13" s="193"/>
      <c r="S13" s="191">
        <v>35000</v>
      </c>
    </row>
    <row r="14" spans="1:19" s="186" customFormat="1" ht="17.25" customHeight="1">
      <c r="A14" s="126">
        <v>6</v>
      </c>
      <c r="B14" s="127" t="s">
        <v>313</v>
      </c>
      <c r="C14" s="200">
        <f t="shared" si="1"/>
        <v>3449000</v>
      </c>
      <c r="D14" s="119">
        <v>41092</v>
      </c>
      <c r="E14" s="192"/>
      <c r="F14" s="200">
        <v>40000</v>
      </c>
      <c r="G14" s="200">
        <v>40000</v>
      </c>
      <c r="H14" s="192"/>
      <c r="I14" s="119">
        <v>18000</v>
      </c>
      <c r="J14" s="192"/>
      <c r="K14" s="119">
        <v>27000</v>
      </c>
      <c r="L14" s="119"/>
      <c r="M14" s="119">
        <v>35100</v>
      </c>
      <c r="N14" s="119">
        <f t="shared" si="2"/>
        <v>35100</v>
      </c>
      <c r="O14" s="192"/>
      <c r="P14" s="189">
        <f>3213000-192</f>
        <v>3212808</v>
      </c>
      <c r="Q14" s="193"/>
      <c r="R14" s="193"/>
      <c r="S14" s="191">
        <v>35000</v>
      </c>
    </row>
    <row r="15" spans="1:19" s="186" customFormat="1" ht="33.75" customHeight="1">
      <c r="A15" s="126">
        <v>7</v>
      </c>
      <c r="B15" s="127" t="s">
        <v>314</v>
      </c>
      <c r="C15" s="200">
        <f t="shared" si="1"/>
        <v>4244000</v>
      </c>
      <c r="D15" s="119">
        <v>41092</v>
      </c>
      <c r="E15" s="192"/>
      <c r="F15" s="200">
        <v>40000</v>
      </c>
      <c r="G15" s="200">
        <v>40000</v>
      </c>
      <c r="H15" s="192"/>
      <c r="I15" s="119">
        <v>18000</v>
      </c>
      <c r="J15" s="192"/>
      <c r="K15" s="119">
        <v>27000</v>
      </c>
      <c r="L15" s="119"/>
      <c r="M15" s="119">
        <v>7500</v>
      </c>
      <c r="N15" s="119">
        <f t="shared" si="2"/>
        <v>7500</v>
      </c>
      <c r="O15" s="192"/>
      <c r="P15" s="189">
        <f>4036000-592</f>
        <v>4035408</v>
      </c>
      <c r="Q15" s="193"/>
      <c r="R15" s="193"/>
      <c r="S15" s="191">
        <v>35000</v>
      </c>
    </row>
    <row r="16" spans="1:19" s="186" customFormat="1" ht="17.25" customHeight="1">
      <c r="A16" s="126">
        <v>8</v>
      </c>
      <c r="B16" s="127" t="s">
        <v>315</v>
      </c>
      <c r="C16" s="200">
        <f t="shared" si="1"/>
        <v>4028000</v>
      </c>
      <c r="D16" s="119">
        <v>41092</v>
      </c>
      <c r="E16" s="192"/>
      <c r="F16" s="200">
        <v>40000</v>
      </c>
      <c r="G16" s="200">
        <v>280000</v>
      </c>
      <c r="H16" s="192"/>
      <c r="I16" s="119">
        <v>18000</v>
      </c>
      <c r="J16" s="192"/>
      <c r="K16" s="119">
        <v>27000</v>
      </c>
      <c r="L16" s="119"/>
      <c r="M16" s="119">
        <v>21000</v>
      </c>
      <c r="N16" s="119">
        <f t="shared" si="2"/>
        <v>21000</v>
      </c>
      <c r="O16" s="192"/>
      <c r="P16" s="189">
        <f>3540000-286</f>
        <v>3539714</v>
      </c>
      <c r="Q16" s="193">
        <v>26194</v>
      </c>
      <c r="R16" s="193"/>
      <c r="S16" s="191">
        <v>35000</v>
      </c>
    </row>
    <row r="17" spans="1:19" s="186" customFormat="1" ht="17.25" customHeight="1">
      <c r="A17" s="126">
        <v>9</v>
      </c>
      <c r="B17" s="127" t="s">
        <v>316</v>
      </c>
      <c r="C17" s="200">
        <f t="shared" si="1"/>
        <v>5092000</v>
      </c>
      <c r="D17" s="119">
        <v>41092</v>
      </c>
      <c r="E17" s="192"/>
      <c r="F17" s="200">
        <v>40000</v>
      </c>
      <c r="G17" s="200">
        <v>292000</v>
      </c>
      <c r="H17" s="192"/>
      <c r="I17" s="119">
        <v>18000</v>
      </c>
      <c r="J17" s="192"/>
      <c r="K17" s="119">
        <v>27000</v>
      </c>
      <c r="L17" s="119"/>
      <c r="M17" s="119">
        <v>36000</v>
      </c>
      <c r="N17" s="119">
        <f t="shared" si="2"/>
        <v>36000</v>
      </c>
      <c r="O17" s="192"/>
      <c r="P17" s="189">
        <f>4554000+24</f>
        <v>4554024</v>
      </c>
      <c r="Q17" s="193">
        <v>48884</v>
      </c>
      <c r="R17" s="193"/>
      <c r="S17" s="191">
        <v>35000</v>
      </c>
    </row>
    <row r="18" spans="1:19" s="186" customFormat="1" ht="17.25" customHeight="1">
      <c r="A18" s="126">
        <v>10</v>
      </c>
      <c r="B18" s="127" t="s">
        <v>317</v>
      </c>
      <c r="C18" s="200">
        <f t="shared" si="1"/>
        <v>3884000</v>
      </c>
      <c r="D18" s="119">
        <v>41092</v>
      </c>
      <c r="E18" s="192"/>
      <c r="F18" s="200">
        <v>40000</v>
      </c>
      <c r="G18" s="200">
        <v>280000</v>
      </c>
      <c r="H18" s="192"/>
      <c r="I18" s="119">
        <v>18000</v>
      </c>
      <c r="J18" s="192"/>
      <c r="K18" s="119">
        <v>27000</v>
      </c>
      <c r="L18" s="119"/>
      <c r="M18" s="119">
        <v>26700</v>
      </c>
      <c r="N18" s="119">
        <f t="shared" si="2"/>
        <v>26700</v>
      </c>
      <c r="O18" s="192"/>
      <c r="P18" s="189">
        <f>3392000+660</f>
        <v>3392660</v>
      </c>
      <c r="Q18" s="193">
        <v>23548</v>
      </c>
      <c r="R18" s="193"/>
      <c r="S18" s="191">
        <v>35000</v>
      </c>
    </row>
    <row r="19" spans="1:19" s="186" customFormat="1" ht="17.25" customHeight="1">
      <c r="A19" s="126">
        <v>11</v>
      </c>
      <c r="B19" s="127" t="s">
        <v>318</v>
      </c>
      <c r="C19" s="200">
        <f t="shared" si="1"/>
        <v>4302000</v>
      </c>
      <c r="D19" s="119">
        <v>41092</v>
      </c>
      <c r="E19" s="192"/>
      <c r="F19" s="200">
        <v>40000</v>
      </c>
      <c r="G19" s="200">
        <v>280000</v>
      </c>
      <c r="H19" s="192"/>
      <c r="I19" s="119">
        <v>18000</v>
      </c>
      <c r="J19" s="192"/>
      <c r="K19" s="119">
        <v>27000</v>
      </c>
      <c r="L19" s="119"/>
      <c r="M19" s="119">
        <v>19800</v>
      </c>
      <c r="N19" s="119">
        <f t="shared" si="2"/>
        <v>19800</v>
      </c>
      <c r="O19" s="192"/>
      <c r="P19" s="189">
        <f>3841000+108</f>
        <v>3841108</v>
      </c>
      <c r="Q19" s="193">
        <v>0</v>
      </c>
      <c r="R19" s="193"/>
      <c r="S19" s="191">
        <v>35000</v>
      </c>
    </row>
    <row r="20" spans="1:19" s="186" customFormat="1" ht="17.25" customHeight="1">
      <c r="A20" s="126">
        <v>12</v>
      </c>
      <c r="B20" s="127" t="s">
        <v>319</v>
      </c>
      <c r="C20" s="200">
        <f t="shared" si="1"/>
        <v>3465000</v>
      </c>
      <c r="D20" s="119">
        <v>41092</v>
      </c>
      <c r="E20" s="192"/>
      <c r="F20" s="200">
        <v>40000</v>
      </c>
      <c r="G20" s="200">
        <v>40000</v>
      </c>
      <c r="H20" s="192"/>
      <c r="I20" s="119">
        <v>18000</v>
      </c>
      <c r="J20" s="192"/>
      <c r="K20" s="119">
        <v>27000</v>
      </c>
      <c r="L20" s="119"/>
      <c r="M20" s="119">
        <v>30000</v>
      </c>
      <c r="N20" s="119">
        <f t="shared" si="2"/>
        <v>30000</v>
      </c>
      <c r="O20" s="192"/>
      <c r="P20" s="189">
        <f>3234000-92</f>
        <v>3233908</v>
      </c>
      <c r="Q20" s="193"/>
      <c r="R20" s="193"/>
      <c r="S20" s="191">
        <v>35000</v>
      </c>
    </row>
    <row r="21" spans="1:19" s="186" customFormat="1" ht="17.25" customHeight="1">
      <c r="A21" s="128">
        <v>13</v>
      </c>
      <c r="B21" s="129" t="s">
        <v>320</v>
      </c>
      <c r="C21" s="120">
        <f t="shared" si="1"/>
        <v>3535000</v>
      </c>
      <c r="D21" s="120">
        <v>41092</v>
      </c>
      <c r="E21" s="194"/>
      <c r="F21" s="120">
        <v>40000</v>
      </c>
      <c r="G21" s="120">
        <v>40000</v>
      </c>
      <c r="H21" s="194"/>
      <c r="I21" s="120">
        <v>18000</v>
      </c>
      <c r="J21" s="194"/>
      <c r="K21" s="120">
        <v>27000</v>
      </c>
      <c r="L21" s="120"/>
      <c r="M21" s="120">
        <v>30000</v>
      </c>
      <c r="N21" s="120">
        <f t="shared" si="2"/>
        <v>30000</v>
      </c>
      <c r="O21" s="194"/>
      <c r="P21" s="195">
        <f>3304000-92</f>
        <v>3303908</v>
      </c>
      <c r="Q21" s="196"/>
      <c r="R21" s="196"/>
      <c r="S21" s="197">
        <v>35000</v>
      </c>
    </row>
  </sheetData>
  <sheetProtection/>
  <mergeCells count="22">
    <mergeCell ref="L5:L6"/>
    <mergeCell ref="C5:C6"/>
    <mergeCell ref="S5:S6"/>
    <mergeCell ref="P5:P6"/>
    <mergeCell ref="A3:S3"/>
    <mergeCell ref="M5:M6"/>
    <mergeCell ref="D5:D6"/>
    <mergeCell ref="Q5:Q6"/>
    <mergeCell ref="N5:O5"/>
    <mergeCell ref="B5:B6"/>
    <mergeCell ref="E5:E6"/>
    <mergeCell ref="F5:F6"/>
    <mergeCell ref="Q1:S1"/>
    <mergeCell ref="G5:G6"/>
    <mergeCell ref="R5:R6"/>
    <mergeCell ref="A2:S2"/>
    <mergeCell ref="K5:K6"/>
    <mergeCell ref="H5:H6"/>
    <mergeCell ref="A5:A6"/>
    <mergeCell ref="P4:S4"/>
    <mergeCell ref="I5:I6"/>
    <mergeCell ref="J5:J6"/>
  </mergeCells>
  <printOptions/>
  <pageMargins left="0.39" right="0.17" top="0.28" bottom="0.2" header="0.3" footer="0.23"/>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rgb="FFFF0000"/>
  </sheetPr>
  <dimension ref="A1:O23"/>
  <sheetViews>
    <sheetView zoomScalePageLayoutView="0" workbookViewId="0" topLeftCell="A7">
      <selection activeCell="K11" sqref="K11:K23"/>
    </sheetView>
  </sheetViews>
  <sheetFormatPr defaultColWidth="9.00390625" defaultRowHeight="14.25"/>
  <cols>
    <col min="1" max="1" width="5.75390625" style="217" customWidth="1"/>
    <col min="2" max="2" width="17.625" style="217" customWidth="1"/>
    <col min="3" max="3" width="10.625" style="217" customWidth="1"/>
    <col min="4" max="4" width="12.00390625" style="217" customWidth="1"/>
    <col min="5" max="5" width="11.375" style="217" customWidth="1"/>
    <col min="6" max="6" width="9.00390625" style="217" customWidth="1"/>
    <col min="7" max="7" width="12.50390625" style="217" customWidth="1"/>
    <col min="8" max="8" width="13.00390625" style="217" customWidth="1"/>
    <col min="9" max="9" width="9.875" style="217" bestFit="1" customWidth="1"/>
    <col min="10" max="10" width="10.75390625" style="217" customWidth="1"/>
    <col min="11" max="11" width="12.875" style="217" customWidth="1"/>
    <col min="12" max="12" width="13.375" style="217" customWidth="1"/>
    <col min="13" max="16384" width="9.00390625" style="217" customWidth="1"/>
  </cols>
  <sheetData>
    <row r="1" ht="15.75">
      <c r="K1" s="7" t="s">
        <v>183</v>
      </c>
    </row>
    <row r="2" spans="1:11" ht="18.75" customHeight="1">
      <c r="A2" s="480" t="s">
        <v>262</v>
      </c>
      <c r="B2" s="480"/>
      <c r="C2" s="480"/>
      <c r="D2" s="480"/>
      <c r="E2" s="480"/>
      <c r="F2" s="480"/>
      <c r="G2" s="480"/>
      <c r="H2" s="480"/>
      <c r="I2" s="480"/>
      <c r="J2" s="480"/>
      <c r="K2" s="480"/>
    </row>
    <row r="3" spans="1:11" ht="17.25" customHeight="1">
      <c r="A3" s="480" t="s">
        <v>302</v>
      </c>
      <c r="B3" s="480"/>
      <c r="C3" s="480"/>
      <c r="D3" s="480"/>
      <c r="E3" s="480"/>
      <c r="F3" s="480"/>
      <c r="G3" s="480"/>
      <c r="H3" s="480"/>
      <c r="I3" s="480"/>
      <c r="J3" s="480"/>
      <c r="K3" s="480"/>
    </row>
    <row r="4" spans="1:15" ht="16.5" customHeight="1">
      <c r="A4" s="474" t="str">
        <f>'15'!A3:G3</f>
        <v>(Kèm theo Tờ trình số         /TTr-HĐND  ngày        tháng 12 năm 2022 của UBND huyện Hạ Lang)</v>
      </c>
      <c r="B4" s="474"/>
      <c r="C4" s="474"/>
      <c r="D4" s="474"/>
      <c r="E4" s="474"/>
      <c r="F4" s="474"/>
      <c r="G4" s="474"/>
      <c r="H4" s="474"/>
      <c r="I4" s="474"/>
      <c r="J4" s="474"/>
      <c r="K4" s="474"/>
      <c r="L4" s="216"/>
      <c r="M4" s="216"/>
      <c r="N4" s="216"/>
      <c r="O4" s="216"/>
    </row>
    <row r="5" spans="10:11" ht="15.75">
      <c r="J5" s="112" t="s">
        <v>9</v>
      </c>
      <c r="K5" s="112"/>
    </row>
    <row r="6" spans="1:11" s="218" customFormat="1" ht="15.75">
      <c r="A6" s="481" t="s">
        <v>4</v>
      </c>
      <c r="B6" s="481" t="s">
        <v>239</v>
      </c>
      <c r="C6" s="481" t="s">
        <v>221</v>
      </c>
      <c r="D6" s="481" t="s">
        <v>263</v>
      </c>
      <c r="E6" s="481" t="s">
        <v>264</v>
      </c>
      <c r="F6" s="481"/>
      <c r="G6" s="481"/>
      <c r="H6" s="481" t="s">
        <v>265</v>
      </c>
      <c r="I6" s="481" t="s">
        <v>266</v>
      </c>
      <c r="J6" s="481" t="s">
        <v>33</v>
      </c>
      <c r="K6" s="481" t="s">
        <v>58</v>
      </c>
    </row>
    <row r="7" spans="1:11" s="218" customFormat="1" ht="15.75">
      <c r="A7" s="481"/>
      <c r="B7" s="481"/>
      <c r="C7" s="481"/>
      <c r="D7" s="481"/>
      <c r="E7" s="481" t="s">
        <v>56</v>
      </c>
      <c r="F7" s="481" t="s">
        <v>267</v>
      </c>
      <c r="G7" s="481"/>
      <c r="H7" s="481"/>
      <c r="I7" s="481"/>
      <c r="J7" s="481"/>
      <c r="K7" s="481"/>
    </row>
    <row r="8" spans="1:11" s="218" customFormat="1" ht="61.5" customHeight="1">
      <c r="A8" s="481"/>
      <c r="B8" s="481"/>
      <c r="C8" s="481"/>
      <c r="D8" s="481"/>
      <c r="E8" s="481"/>
      <c r="F8" s="10" t="s">
        <v>210</v>
      </c>
      <c r="G8" s="10" t="s">
        <v>268</v>
      </c>
      <c r="H8" s="481"/>
      <c r="I8" s="481"/>
      <c r="J8" s="481"/>
      <c r="K8" s="481"/>
    </row>
    <row r="9" spans="1:11" s="218" customFormat="1" ht="16.5" customHeight="1">
      <c r="A9" s="10" t="s">
        <v>6</v>
      </c>
      <c r="B9" s="10" t="s">
        <v>7</v>
      </c>
      <c r="C9" s="10">
        <v>1</v>
      </c>
      <c r="D9" s="10" t="s">
        <v>269</v>
      </c>
      <c r="E9" s="10">
        <v>3</v>
      </c>
      <c r="F9" s="10">
        <v>4</v>
      </c>
      <c r="G9" s="10">
        <v>5</v>
      </c>
      <c r="H9" s="10">
        <v>6</v>
      </c>
      <c r="I9" s="10">
        <v>7</v>
      </c>
      <c r="J9" s="10">
        <v>8</v>
      </c>
      <c r="K9" s="10" t="s">
        <v>270</v>
      </c>
    </row>
    <row r="10" spans="1:11" s="219" customFormat="1" ht="19.5" customHeight="1">
      <c r="A10" s="14"/>
      <c r="B10" s="14" t="s">
        <v>206</v>
      </c>
      <c r="C10" s="54">
        <f>SUM(C11:C23)</f>
        <v>1322</v>
      </c>
      <c r="D10" s="54">
        <f aca="true" t="shared" si="0" ref="D10:K10">SUM(D11:D23)</f>
        <v>1322</v>
      </c>
      <c r="E10" s="54">
        <f t="shared" si="0"/>
        <v>1322</v>
      </c>
      <c r="F10" s="54">
        <f t="shared" si="0"/>
        <v>0</v>
      </c>
      <c r="G10" s="54">
        <f t="shared" si="0"/>
        <v>0</v>
      </c>
      <c r="H10" s="54">
        <f t="shared" si="0"/>
        <v>51812.903000000006</v>
      </c>
      <c r="I10" s="54">
        <f t="shared" si="0"/>
        <v>0</v>
      </c>
      <c r="J10" s="54">
        <f t="shared" si="0"/>
        <v>0</v>
      </c>
      <c r="K10" s="54">
        <f t="shared" si="0"/>
        <v>53134.903000000006</v>
      </c>
    </row>
    <row r="11" spans="1:12" s="218" customFormat="1" ht="18.75" customHeight="1">
      <c r="A11" s="220" t="s">
        <v>207</v>
      </c>
      <c r="B11" s="122" t="s">
        <v>307</v>
      </c>
      <c r="C11" s="53">
        <f>D11</f>
        <v>41</v>
      </c>
      <c r="D11" s="53">
        <f>E11+F11</f>
        <v>41</v>
      </c>
      <c r="E11" s="221">
        <f>'Biểu 32 xã'!C10</f>
        <v>41</v>
      </c>
      <c r="F11" s="53"/>
      <c r="G11" s="53"/>
      <c r="H11" s="53">
        <v>4262.925</v>
      </c>
      <c r="I11" s="53"/>
      <c r="J11" s="53"/>
      <c r="K11" s="53">
        <v>4303.925</v>
      </c>
      <c r="L11" s="284"/>
    </row>
    <row r="12" spans="1:12" s="218" customFormat="1" ht="18.75" customHeight="1">
      <c r="A12" s="220">
        <v>2</v>
      </c>
      <c r="B12" s="122" t="s">
        <v>309</v>
      </c>
      <c r="C12" s="53">
        <f aca="true" t="shared" si="1" ref="C12:C23">D12</f>
        <v>122</v>
      </c>
      <c r="D12" s="53">
        <f aca="true" t="shared" si="2" ref="D12:D23">E12+F12</f>
        <v>122</v>
      </c>
      <c r="E12" s="221">
        <f>'Biểu 32 xã'!C11</f>
        <v>122</v>
      </c>
      <c r="F12" s="53"/>
      <c r="G12" s="53"/>
      <c r="H12" s="53">
        <v>4233.383</v>
      </c>
      <c r="I12" s="53"/>
      <c r="J12" s="53"/>
      <c r="K12" s="53">
        <v>4355.383</v>
      </c>
      <c r="L12" s="284"/>
    </row>
    <row r="13" spans="1:12" s="218" customFormat="1" ht="18.75" customHeight="1">
      <c r="A13" s="220">
        <v>3</v>
      </c>
      <c r="B13" s="122" t="s">
        <v>310</v>
      </c>
      <c r="C13" s="53">
        <f t="shared" si="1"/>
        <v>51</v>
      </c>
      <c r="D13" s="53">
        <f t="shared" si="2"/>
        <v>51</v>
      </c>
      <c r="E13" s="221">
        <f>'Biểu 32 xã'!C12</f>
        <v>51</v>
      </c>
      <c r="F13" s="53"/>
      <c r="G13" s="53"/>
      <c r="H13" s="53">
        <v>4291.061</v>
      </c>
      <c r="I13" s="53"/>
      <c r="J13" s="53"/>
      <c r="K13" s="53">
        <v>4342.061</v>
      </c>
      <c r="L13" s="284"/>
    </row>
    <row r="14" spans="1:12" s="218" customFormat="1" ht="18.75" customHeight="1">
      <c r="A14" s="220">
        <v>4</v>
      </c>
      <c r="B14" s="122" t="s">
        <v>311</v>
      </c>
      <c r="C14" s="53">
        <f t="shared" si="1"/>
        <v>33</v>
      </c>
      <c r="D14" s="53">
        <f t="shared" si="2"/>
        <v>33</v>
      </c>
      <c r="E14" s="221">
        <f>'Biểu 32 xã'!C13</f>
        <v>33</v>
      </c>
      <c r="F14" s="53"/>
      <c r="G14" s="53"/>
      <c r="H14" s="53">
        <v>3768.768</v>
      </c>
      <c r="I14" s="53"/>
      <c r="J14" s="53"/>
      <c r="K14" s="53">
        <v>3801.768</v>
      </c>
      <c r="L14" s="284"/>
    </row>
    <row r="15" spans="1:12" s="218" customFormat="1" ht="18.75" customHeight="1">
      <c r="A15" s="220">
        <v>5</v>
      </c>
      <c r="B15" s="122" t="s">
        <v>312</v>
      </c>
      <c r="C15" s="53">
        <f t="shared" si="1"/>
        <v>26</v>
      </c>
      <c r="D15" s="53">
        <f t="shared" si="2"/>
        <v>26</v>
      </c>
      <c r="E15" s="221">
        <f>'Biểu 32 xã'!C14</f>
        <v>26</v>
      </c>
      <c r="F15" s="53"/>
      <c r="G15" s="53"/>
      <c r="H15" s="53">
        <v>3603.896</v>
      </c>
      <c r="I15" s="53"/>
      <c r="J15" s="53"/>
      <c r="K15" s="53">
        <v>3629.896</v>
      </c>
      <c r="L15" s="284"/>
    </row>
    <row r="16" spans="1:12" s="218" customFormat="1" ht="18.75" customHeight="1">
      <c r="A16" s="220">
        <v>6</v>
      </c>
      <c r="B16" s="122" t="s">
        <v>347</v>
      </c>
      <c r="C16" s="53">
        <f t="shared" si="1"/>
        <v>26</v>
      </c>
      <c r="D16" s="53">
        <f t="shared" si="2"/>
        <v>26</v>
      </c>
      <c r="E16" s="221">
        <f>'Biểu 32 xã'!C15</f>
        <v>26</v>
      </c>
      <c r="F16" s="53"/>
      <c r="G16" s="53"/>
      <c r="H16" s="53">
        <v>3536.772</v>
      </c>
      <c r="I16" s="53"/>
      <c r="J16" s="53"/>
      <c r="K16" s="53">
        <v>3562.772</v>
      </c>
      <c r="L16" s="284"/>
    </row>
    <row r="17" spans="1:12" s="218" customFormat="1" ht="18.75" customHeight="1">
      <c r="A17" s="220">
        <v>7</v>
      </c>
      <c r="B17" s="122" t="s">
        <v>314</v>
      </c>
      <c r="C17" s="53">
        <f t="shared" si="1"/>
        <v>760</v>
      </c>
      <c r="D17" s="53">
        <f t="shared" si="2"/>
        <v>760</v>
      </c>
      <c r="E17" s="221">
        <f>'Biểu 32 xã'!C16</f>
        <v>760</v>
      </c>
      <c r="F17" s="53"/>
      <c r="G17" s="53"/>
      <c r="H17" s="53">
        <v>3120.674</v>
      </c>
      <c r="I17" s="53"/>
      <c r="J17" s="53"/>
      <c r="K17" s="53">
        <v>3880.674</v>
      </c>
      <c r="L17" s="284"/>
    </row>
    <row r="18" spans="1:12" s="218" customFormat="1" ht="18.75" customHeight="1">
      <c r="A18" s="220">
        <v>8</v>
      </c>
      <c r="B18" s="122" t="s">
        <v>315</v>
      </c>
      <c r="C18" s="53">
        <f t="shared" si="1"/>
        <v>46</v>
      </c>
      <c r="D18" s="53">
        <f t="shared" si="2"/>
        <v>46</v>
      </c>
      <c r="E18" s="221">
        <f>'Biểu 32 xã'!C17</f>
        <v>46</v>
      </c>
      <c r="F18" s="53"/>
      <c r="G18" s="53"/>
      <c r="H18" s="53">
        <v>4337.762</v>
      </c>
      <c r="I18" s="53"/>
      <c r="J18" s="53"/>
      <c r="K18" s="53">
        <v>4383.762</v>
      </c>
      <c r="L18" s="284"/>
    </row>
    <row r="19" spans="1:12" s="218" customFormat="1" ht="18.75" customHeight="1">
      <c r="A19" s="220">
        <v>9</v>
      </c>
      <c r="B19" s="122" t="s">
        <v>352</v>
      </c>
      <c r="C19" s="53">
        <f t="shared" si="1"/>
        <v>57</v>
      </c>
      <c r="D19" s="53">
        <f t="shared" si="2"/>
        <v>57</v>
      </c>
      <c r="E19" s="221">
        <f>'Biểu 32 xã'!C18</f>
        <v>57</v>
      </c>
      <c r="F19" s="53"/>
      <c r="G19" s="53"/>
      <c r="H19" s="53">
        <v>5256.13</v>
      </c>
      <c r="I19" s="53"/>
      <c r="J19" s="53"/>
      <c r="K19" s="53">
        <v>5313.13</v>
      </c>
      <c r="L19" s="284"/>
    </row>
    <row r="20" spans="1:12" s="218" customFormat="1" ht="18.75" customHeight="1">
      <c r="A20" s="220">
        <v>10</v>
      </c>
      <c r="B20" s="122" t="s">
        <v>317</v>
      </c>
      <c r="C20" s="53">
        <f t="shared" si="1"/>
        <v>55</v>
      </c>
      <c r="D20" s="53">
        <f t="shared" si="2"/>
        <v>55</v>
      </c>
      <c r="E20" s="221">
        <f>'Biểu 32 xã'!C19</f>
        <v>55</v>
      </c>
      <c r="F20" s="53"/>
      <c r="G20" s="53"/>
      <c r="H20" s="53">
        <v>4190.889</v>
      </c>
      <c r="I20" s="53"/>
      <c r="J20" s="53"/>
      <c r="K20" s="53">
        <v>4245.889</v>
      </c>
      <c r="L20" s="284"/>
    </row>
    <row r="21" spans="1:12" s="218" customFormat="1" ht="18.75" customHeight="1">
      <c r="A21" s="220">
        <v>11</v>
      </c>
      <c r="B21" s="122" t="s">
        <v>318</v>
      </c>
      <c r="C21" s="53">
        <f t="shared" si="1"/>
        <v>36</v>
      </c>
      <c r="D21" s="53">
        <f t="shared" si="2"/>
        <v>36</v>
      </c>
      <c r="E21" s="221">
        <f>'Biểu 32 xã'!C20</f>
        <v>36</v>
      </c>
      <c r="F21" s="53"/>
      <c r="G21" s="53"/>
      <c r="H21" s="53">
        <v>4041.044</v>
      </c>
      <c r="I21" s="53"/>
      <c r="J21" s="53"/>
      <c r="K21" s="53">
        <v>4077.044</v>
      </c>
      <c r="L21" s="284"/>
    </row>
    <row r="22" spans="1:12" s="218" customFormat="1" ht="18.75" customHeight="1">
      <c r="A22" s="220">
        <v>12</v>
      </c>
      <c r="B22" s="122" t="s">
        <v>319</v>
      </c>
      <c r="C22" s="53">
        <f t="shared" si="1"/>
        <v>31</v>
      </c>
      <c r="D22" s="53">
        <f t="shared" si="2"/>
        <v>31</v>
      </c>
      <c r="E22" s="221">
        <f>'Biểu 32 xã'!C21</f>
        <v>31</v>
      </c>
      <c r="F22" s="53"/>
      <c r="G22" s="53"/>
      <c r="H22" s="53">
        <v>3683.785</v>
      </c>
      <c r="I22" s="53"/>
      <c r="J22" s="53"/>
      <c r="K22" s="53">
        <v>3714.785</v>
      </c>
      <c r="L22" s="284"/>
    </row>
    <row r="23" spans="1:12" s="218" customFormat="1" ht="18.75" customHeight="1">
      <c r="A23" s="222">
        <v>13</v>
      </c>
      <c r="B23" s="123" t="s">
        <v>320</v>
      </c>
      <c r="C23" s="124">
        <f t="shared" si="1"/>
        <v>38</v>
      </c>
      <c r="D23" s="124">
        <f t="shared" si="2"/>
        <v>38</v>
      </c>
      <c r="E23" s="223">
        <f>'Biểu 32 xã'!C22</f>
        <v>38</v>
      </c>
      <c r="F23" s="124"/>
      <c r="G23" s="124"/>
      <c r="H23" s="124">
        <v>3485.814</v>
      </c>
      <c r="I23" s="124"/>
      <c r="J23" s="124"/>
      <c r="K23" s="124">
        <v>3523.814</v>
      </c>
      <c r="L23" s="284"/>
    </row>
  </sheetData>
  <sheetProtection/>
  <mergeCells count="14">
    <mergeCell ref="A2:K2"/>
    <mergeCell ref="A3:K3"/>
    <mergeCell ref="A4:K4"/>
    <mergeCell ref="A6:A8"/>
    <mergeCell ref="B6:B8"/>
    <mergeCell ref="C6:C8"/>
    <mergeCell ref="D6:D8"/>
    <mergeCell ref="E6:G6"/>
    <mergeCell ref="H6:H8"/>
    <mergeCell ref="I6:I8"/>
    <mergeCell ref="J6:J8"/>
    <mergeCell ref="K6:K8"/>
    <mergeCell ref="E7:E8"/>
    <mergeCell ref="F7:G7"/>
  </mergeCells>
  <printOptions/>
  <pageMargins left="0.69" right="0.26" top="0.32" bottom="0.33"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L19"/>
  <sheetViews>
    <sheetView zoomScalePageLayoutView="0" workbookViewId="0" topLeftCell="A1">
      <selection activeCell="P18" sqref="P18"/>
    </sheetView>
  </sheetViews>
  <sheetFormatPr defaultColWidth="9.00390625" defaultRowHeight="14.25"/>
  <cols>
    <col min="1" max="1" width="8.125" style="183" customWidth="1"/>
    <col min="2" max="2" width="16.00390625" style="183" customWidth="1"/>
    <col min="3" max="3" width="11.125" style="183" customWidth="1"/>
    <col min="4" max="4" width="9.00390625" style="183" customWidth="1"/>
    <col min="5" max="5" width="10.25390625" style="183" customWidth="1"/>
    <col min="6" max="9" width="9.00390625" style="183" customWidth="1"/>
    <col min="10" max="10" width="13.125" style="183" customWidth="1"/>
    <col min="11" max="11" width="11.625" style="183" customWidth="1"/>
    <col min="12" max="12" width="11.75390625" style="183" customWidth="1"/>
    <col min="13" max="16384" width="9.00390625" style="183" customWidth="1"/>
  </cols>
  <sheetData>
    <row r="1" ht="15">
      <c r="K1" s="183" t="s">
        <v>368</v>
      </c>
    </row>
    <row r="2" spans="1:12" ht="15">
      <c r="A2" s="505" t="s">
        <v>361</v>
      </c>
      <c r="B2" s="505"/>
      <c r="C2" s="505"/>
      <c r="D2" s="505"/>
      <c r="E2" s="505"/>
      <c r="F2" s="505"/>
      <c r="G2" s="505"/>
      <c r="H2" s="505"/>
      <c r="I2" s="505"/>
      <c r="J2" s="505"/>
      <c r="K2" s="505"/>
      <c r="L2" s="505"/>
    </row>
    <row r="3" spans="1:12" ht="15">
      <c r="A3" s="506" t="str">
        <f>'Biểu 39 xã'!A4:K4</f>
        <v>(Kèm theo Tờ trình số         /TTr-HĐND  ngày        tháng 12 năm 2022 của UBND huyện Hạ Lang)</v>
      </c>
      <c r="B3" s="506"/>
      <c r="C3" s="506"/>
      <c r="D3" s="506"/>
      <c r="E3" s="506"/>
      <c r="F3" s="506"/>
      <c r="G3" s="506"/>
      <c r="H3" s="506"/>
      <c r="I3" s="506"/>
      <c r="J3" s="506"/>
      <c r="K3" s="506"/>
      <c r="L3" s="506"/>
    </row>
    <row r="5" spans="1:12" s="270" customFormat="1" ht="19.5" customHeight="1">
      <c r="A5" s="500" t="s">
        <v>4</v>
      </c>
      <c r="B5" s="500" t="s">
        <v>239</v>
      </c>
      <c r="C5" s="502" t="s">
        <v>360</v>
      </c>
      <c r="D5" s="503"/>
      <c r="E5" s="503"/>
      <c r="F5" s="503"/>
      <c r="G5" s="503"/>
      <c r="H5" s="503"/>
      <c r="I5" s="503"/>
      <c r="J5" s="503"/>
      <c r="K5" s="503"/>
      <c r="L5" s="504"/>
    </row>
    <row r="6" spans="1:12" s="270" customFormat="1" ht="141.75" customHeight="1">
      <c r="A6" s="501"/>
      <c r="B6" s="501"/>
      <c r="C6" s="280" t="s">
        <v>369</v>
      </c>
      <c r="D6" s="280" t="s">
        <v>362</v>
      </c>
      <c r="E6" s="280" t="s">
        <v>367</v>
      </c>
      <c r="F6" s="280" t="s">
        <v>363</v>
      </c>
      <c r="G6" s="280" t="s">
        <v>370</v>
      </c>
      <c r="H6" s="280" t="s">
        <v>42</v>
      </c>
      <c r="I6" s="280" t="s">
        <v>364</v>
      </c>
      <c r="J6" s="280" t="s">
        <v>365</v>
      </c>
      <c r="K6" s="280" t="s">
        <v>371</v>
      </c>
      <c r="L6" s="280" t="s">
        <v>366</v>
      </c>
    </row>
    <row r="7" spans="1:12" ht="21" customHeight="1">
      <c r="A7" s="271" t="s">
        <v>207</v>
      </c>
      <c r="B7" s="274" t="s">
        <v>307</v>
      </c>
      <c r="C7" s="277"/>
      <c r="D7" s="277"/>
      <c r="E7" s="277"/>
      <c r="F7" s="277"/>
      <c r="G7" s="277"/>
      <c r="H7" s="277"/>
      <c r="I7" s="277"/>
      <c r="J7" s="277"/>
      <c r="K7" s="277"/>
      <c r="L7" s="277"/>
    </row>
    <row r="8" spans="1:12" ht="21" customHeight="1">
      <c r="A8" s="272">
        <v>2</v>
      </c>
      <c r="B8" s="275" t="s">
        <v>309</v>
      </c>
      <c r="C8" s="278"/>
      <c r="D8" s="278"/>
      <c r="E8" s="278"/>
      <c r="F8" s="278"/>
      <c r="G8" s="278"/>
      <c r="H8" s="278"/>
      <c r="I8" s="278"/>
      <c r="J8" s="278"/>
      <c r="K8" s="278"/>
      <c r="L8" s="278"/>
    </row>
    <row r="9" spans="1:12" ht="21" customHeight="1">
      <c r="A9" s="272">
        <v>3</v>
      </c>
      <c r="B9" s="275" t="s">
        <v>310</v>
      </c>
      <c r="C9" s="278"/>
      <c r="D9" s="278"/>
      <c r="E9" s="278"/>
      <c r="F9" s="278"/>
      <c r="G9" s="278"/>
      <c r="H9" s="278"/>
      <c r="I9" s="278"/>
      <c r="J9" s="278"/>
      <c r="K9" s="278"/>
      <c r="L9" s="278"/>
    </row>
    <row r="10" spans="1:12" ht="21" customHeight="1">
      <c r="A10" s="272">
        <v>4</v>
      </c>
      <c r="B10" s="275" t="s">
        <v>311</v>
      </c>
      <c r="C10" s="278"/>
      <c r="D10" s="278"/>
      <c r="E10" s="278"/>
      <c r="F10" s="278"/>
      <c r="G10" s="278"/>
      <c r="H10" s="278"/>
      <c r="I10" s="278"/>
      <c r="J10" s="278"/>
      <c r="K10" s="278"/>
      <c r="L10" s="278"/>
    </row>
    <row r="11" spans="1:12" ht="21" customHeight="1">
      <c r="A11" s="272">
        <v>5</v>
      </c>
      <c r="B11" s="275" t="s">
        <v>312</v>
      </c>
      <c r="C11" s="278"/>
      <c r="D11" s="278"/>
      <c r="E11" s="278"/>
      <c r="F11" s="278"/>
      <c r="G11" s="278"/>
      <c r="H11" s="278"/>
      <c r="I11" s="278"/>
      <c r="J11" s="278"/>
      <c r="K11" s="278"/>
      <c r="L11" s="278"/>
    </row>
    <row r="12" spans="1:12" ht="21" customHeight="1">
      <c r="A12" s="272">
        <v>6</v>
      </c>
      <c r="B12" s="275" t="s">
        <v>347</v>
      </c>
      <c r="C12" s="278"/>
      <c r="D12" s="278"/>
      <c r="E12" s="278"/>
      <c r="F12" s="278"/>
      <c r="G12" s="278"/>
      <c r="H12" s="278"/>
      <c r="I12" s="278"/>
      <c r="J12" s="278"/>
      <c r="K12" s="278"/>
      <c r="L12" s="278"/>
    </row>
    <row r="13" spans="1:12" ht="21" customHeight="1">
      <c r="A13" s="272">
        <v>7</v>
      </c>
      <c r="B13" s="275" t="s">
        <v>314</v>
      </c>
      <c r="C13" s="278"/>
      <c r="D13" s="278"/>
      <c r="E13" s="278"/>
      <c r="F13" s="278"/>
      <c r="G13" s="278"/>
      <c r="H13" s="278"/>
      <c r="I13" s="278"/>
      <c r="J13" s="278"/>
      <c r="K13" s="278"/>
      <c r="L13" s="278"/>
    </row>
    <row r="14" spans="1:12" ht="21" customHeight="1">
      <c r="A14" s="272">
        <v>8</v>
      </c>
      <c r="B14" s="275" t="s">
        <v>315</v>
      </c>
      <c r="C14" s="278"/>
      <c r="D14" s="278"/>
      <c r="E14" s="278"/>
      <c r="F14" s="278"/>
      <c r="G14" s="278"/>
      <c r="H14" s="278"/>
      <c r="I14" s="278"/>
      <c r="J14" s="278"/>
      <c r="K14" s="278"/>
      <c r="L14" s="278"/>
    </row>
    <row r="15" spans="1:12" ht="21" customHeight="1">
      <c r="A15" s="272">
        <v>9</v>
      </c>
      <c r="B15" s="275" t="s">
        <v>316</v>
      </c>
      <c r="C15" s="278"/>
      <c r="D15" s="278"/>
      <c r="E15" s="278"/>
      <c r="F15" s="278"/>
      <c r="G15" s="278"/>
      <c r="H15" s="278"/>
      <c r="I15" s="278"/>
      <c r="J15" s="278"/>
      <c r="K15" s="278"/>
      <c r="L15" s="278"/>
    </row>
    <row r="16" spans="1:12" ht="21" customHeight="1">
      <c r="A16" s="272">
        <v>10</v>
      </c>
      <c r="B16" s="275" t="s">
        <v>317</v>
      </c>
      <c r="C16" s="278"/>
      <c r="D16" s="278"/>
      <c r="E16" s="278"/>
      <c r="F16" s="278"/>
      <c r="G16" s="278"/>
      <c r="H16" s="278"/>
      <c r="I16" s="278"/>
      <c r="J16" s="278"/>
      <c r="K16" s="278"/>
      <c r="L16" s="278"/>
    </row>
    <row r="17" spans="1:12" ht="21" customHeight="1">
      <c r="A17" s="272">
        <v>11</v>
      </c>
      <c r="B17" s="275" t="s">
        <v>318</v>
      </c>
      <c r="C17" s="278"/>
      <c r="D17" s="278"/>
      <c r="E17" s="278"/>
      <c r="F17" s="278"/>
      <c r="G17" s="278"/>
      <c r="H17" s="278"/>
      <c r="I17" s="278"/>
      <c r="J17" s="278"/>
      <c r="K17" s="278"/>
      <c r="L17" s="278"/>
    </row>
    <row r="18" spans="1:12" ht="21" customHeight="1">
      <c r="A18" s="272">
        <v>12</v>
      </c>
      <c r="B18" s="275" t="s">
        <v>319</v>
      </c>
      <c r="C18" s="278"/>
      <c r="D18" s="278"/>
      <c r="E18" s="278"/>
      <c r="F18" s="278"/>
      <c r="G18" s="278"/>
      <c r="H18" s="278"/>
      <c r="I18" s="278"/>
      <c r="J18" s="278"/>
      <c r="K18" s="278"/>
      <c r="L18" s="278"/>
    </row>
    <row r="19" spans="1:12" ht="21" customHeight="1">
      <c r="A19" s="273">
        <v>13</v>
      </c>
      <c r="B19" s="276" t="s">
        <v>320</v>
      </c>
      <c r="C19" s="279"/>
      <c r="D19" s="279"/>
      <c r="E19" s="279"/>
      <c r="F19" s="279"/>
      <c r="G19" s="279"/>
      <c r="H19" s="279"/>
      <c r="I19" s="279"/>
      <c r="J19" s="279"/>
      <c r="K19" s="279"/>
      <c r="L19" s="279"/>
    </row>
  </sheetData>
  <sheetProtection/>
  <mergeCells count="5">
    <mergeCell ref="A5:A6"/>
    <mergeCell ref="B5:B6"/>
    <mergeCell ref="C5:L5"/>
    <mergeCell ref="A2:L2"/>
    <mergeCell ref="A3:L3"/>
  </mergeCells>
  <printOptions/>
  <pageMargins left="0.5" right="0.27" top="0.75" bottom="0.2"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Z39"/>
  <sheetViews>
    <sheetView zoomScalePageLayoutView="0" workbookViewId="0" topLeftCell="A4">
      <selection activeCell="A1" sqref="A1:Z14"/>
    </sheetView>
  </sheetViews>
  <sheetFormatPr defaultColWidth="9.00390625" defaultRowHeight="14.25"/>
  <cols>
    <col min="1" max="1" width="5.75390625" style="0" customWidth="1"/>
    <col min="2" max="2" width="19.50390625" style="0" customWidth="1"/>
    <col min="4" max="4" width="8.50390625" style="0" customWidth="1"/>
    <col min="5" max="6" width="7.375" style="0" customWidth="1"/>
    <col min="7" max="7" width="8.50390625" style="0" customWidth="1"/>
    <col min="8" max="8" width="8.625" style="0" customWidth="1"/>
    <col min="9" max="13" width="7.375" style="0" customWidth="1"/>
    <col min="14" max="14" width="7.75390625" style="0" customWidth="1"/>
    <col min="15" max="15" width="8.375" style="0" customWidth="1"/>
    <col min="16" max="19" width="7.375" style="0" customWidth="1"/>
    <col min="20" max="20" width="6.25390625" style="0" customWidth="1"/>
    <col min="21" max="22" width="7.375" style="0" customWidth="1"/>
    <col min="23" max="23" width="6.50390625" style="0" customWidth="1"/>
    <col min="24" max="24" width="5.75390625" style="0" customWidth="1"/>
    <col min="25" max="25" width="7.375" style="0" customWidth="1"/>
    <col min="26" max="26" width="5.875" style="0" customWidth="1"/>
  </cols>
  <sheetData>
    <row r="1" spans="19:25" ht="15.75">
      <c r="S1" s="169"/>
      <c r="Y1" s="169" t="s">
        <v>393</v>
      </c>
    </row>
    <row r="2" spans="1:26" ht="15.75">
      <c r="A2" s="493" t="s">
        <v>411</v>
      </c>
      <c r="B2" s="493"/>
      <c r="C2" s="493"/>
      <c r="D2" s="493"/>
      <c r="E2" s="493"/>
      <c r="F2" s="493"/>
      <c r="G2" s="493"/>
      <c r="H2" s="493"/>
      <c r="I2" s="493"/>
      <c r="J2" s="493"/>
      <c r="K2" s="493"/>
      <c r="L2" s="493"/>
      <c r="M2" s="493"/>
      <c r="N2" s="493"/>
      <c r="O2" s="493"/>
      <c r="P2" s="493"/>
      <c r="Q2" s="493"/>
      <c r="R2" s="493"/>
      <c r="S2" s="493"/>
      <c r="T2" s="493"/>
      <c r="U2" s="493"/>
      <c r="V2" s="493"/>
      <c r="W2" s="493"/>
      <c r="X2" s="493"/>
      <c r="Y2" s="493"/>
      <c r="Z2" s="493"/>
    </row>
    <row r="3" spans="1:26" ht="15.75">
      <c r="A3" s="492" t="str">
        <f>'[1]Biểu 39 xã'!A4:K4</f>
        <v>(Kèm theo Nghị quyết số       /NQ-HĐND ngày        tháng 12 năm 2022 của HĐND huyện)</v>
      </c>
      <c r="B3" s="492"/>
      <c r="C3" s="492"/>
      <c r="D3" s="492"/>
      <c r="E3" s="492"/>
      <c r="F3" s="492"/>
      <c r="G3" s="492"/>
      <c r="H3" s="492"/>
      <c r="I3" s="492"/>
      <c r="J3" s="492"/>
      <c r="K3" s="492"/>
      <c r="L3" s="492"/>
      <c r="M3" s="492"/>
      <c r="N3" s="492"/>
      <c r="O3" s="492"/>
      <c r="P3" s="492"/>
      <c r="Q3" s="492"/>
      <c r="R3" s="492"/>
      <c r="S3" s="492"/>
      <c r="T3" s="492"/>
      <c r="U3" s="492"/>
      <c r="V3" s="492"/>
      <c r="W3" s="492"/>
      <c r="X3" s="492"/>
      <c r="Y3" s="492"/>
      <c r="Z3" s="492"/>
    </row>
    <row r="4" spans="19:25" ht="15.75">
      <c r="S4" s="170"/>
      <c r="Y4" s="170" t="s">
        <v>9</v>
      </c>
    </row>
    <row r="5" spans="1:26" ht="33" customHeight="1">
      <c r="A5" s="490" t="s">
        <v>4</v>
      </c>
      <c r="B5" s="490" t="s">
        <v>220</v>
      </c>
      <c r="C5" s="490" t="s">
        <v>210</v>
      </c>
      <c r="D5" s="490" t="s">
        <v>257</v>
      </c>
      <c r="E5" s="490"/>
      <c r="F5" s="490" t="s">
        <v>412</v>
      </c>
      <c r="G5" s="490"/>
      <c r="H5" s="490"/>
      <c r="I5" s="490"/>
      <c r="J5" s="490"/>
      <c r="K5" s="490"/>
      <c r="L5" s="490"/>
      <c r="M5" s="490" t="s">
        <v>413</v>
      </c>
      <c r="N5" s="490"/>
      <c r="O5" s="490"/>
      <c r="P5" s="490"/>
      <c r="Q5" s="490"/>
      <c r="R5" s="490"/>
      <c r="S5" s="490"/>
      <c r="T5" s="490" t="s">
        <v>414</v>
      </c>
      <c r="U5" s="490"/>
      <c r="V5" s="490"/>
      <c r="W5" s="490"/>
      <c r="X5" s="490"/>
      <c r="Y5" s="490"/>
      <c r="Z5" s="490"/>
    </row>
    <row r="6" spans="1:26" ht="24" customHeight="1">
      <c r="A6" s="490"/>
      <c r="B6" s="490"/>
      <c r="C6" s="490"/>
      <c r="D6" s="490" t="s">
        <v>394</v>
      </c>
      <c r="E6" s="490" t="s">
        <v>395</v>
      </c>
      <c r="F6" s="490" t="s">
        <v>210</v>
      </c>
      <c r="G6" s="490" t="s">
        <v>394</v>
      </c>
      <c r="H6" s="490"/>
      <c r="I6" s="490"/>
      <c r="J6" s="490" t="s">
        <v>395</v>
      </c>
      <c r="K6" s="490"/>
      <c r="L6" s="490"/>
      <c r="M6" s="490" t="s">
        <v>210</v>
      </c>
      <c r="N6" s="490" t="s">
        <v>394</v>
      </c>
      <c r="O6" s="490"/>
      <c r="P6" s="490"/>
      <c r="Q6" s="490" t="s">
        <v>395</v>
      </c>
      <c r="R6" s="490"/>
      <c r="S6" s="490"/>
      <c r="T6" s="490" t="s">
        <v>210</v>
      </c>
      <c r="U6" s="490" t="s">
        <v>394</v>
      </c>
      <c r="V6" s="490"/>
      <c r="W6" s="490"/>
      <c r="X6" s="490" t="s">
        <v>395</v>
      </c>
      <c r="Y6" s="490"/>
      <c r="Z6" s="490"/>
    </row>
    <row r="7" spans="1:26" ht="61.5" customHeight="1">
      <c r="A7" s="490"/>
      <c r="B7" s="490"/>
      <c r="C7" s="490"/>
      <c r="D7" s="490"/>
      <c r="E7" s="490"/>
      <c r="F7" s="490"/>
      <c r="G7" s="285" t="s">
        <v>210</v>
      </c>
      <c r="H7" s="285" t="s">
        <v>303</v>
      </c>
      <c r="I7" s="285" t="s">
        <v>304</v>
      </c>
      <c r="J7" s="285" t="s">
        <v>210</v>
      </c>
      <c r="K7" s="285" t="s">
        <v>303</v>
      </c>
      <c r="L7" s="285" t="s">
        <v>304</v>
      </c>
      <c r="M7" s="490"/>
      <c r="N7" s="285" t="s">
        <v>210</v>
      </c>
      <c r="O7" s="285" t="s">
        <v>303</v>
      </c>
      <c r="P7" s="285" t="s">
        <v>304</v>
      </c>
      <c r="Q7" s="285" t="s">
        <v>210</v>
      </c>
      <c r="R7" s="285" t="s">
        <v>303</v>
      </c>
      <c r="S7" s="285" t="s">
        <v>304</v>
      </c>
      <c r="T7" s="490"/>
      <c r="U7" s="285" t="s">
        <v>210</v>
      </c>
      <c r="V7" s="285" t="s">
        <v>303</v>
      </c>
      <c r="W7" s="285" t="s">
        <v>304</v>
      </c>
      <c r="X7" s="285" t="s">
        <v>210</v>
      </c>
      <c r="Y7" s="285" t="s">
        <v>303</v>
      </c>
      <c r="Z7" s="285" t="s">
        <v>304</v>
      </c>
    </row>
    <row r="8" spans="1:26" ht="31.5">
      <c r="A8" s="285" t="s">
        <v>6</v>
      </c>
      <c r="B8" s="285" t="s">
        <v>7</v>
      </c>
      <c r="C8" s="285" t="s">
        <v>396</v>
      </c>
      <c r="D8" s="285" t="s">
        <v>397</v>
      </c>
      <c r="E8" s="285" t="s">
        <v>398</v>
      </c>
      <c r="F8" s="285" t="s">
        <v>399</v>
      </c>
      <c r="G8" s="285" t="s">
        <v>400</v>
      </c>
      <c r="H8" s="285">
        <v>6</v>
      </c>
      <c r="I8" s="285">
        <v>7</v>
      </c>
      <c r="J8" s="285" t="s">
        <v>401</v>
      </c>
      <c r="K8" s="285">
        <v>9</v>
      </c>
      <c r="L8" s="285">
        <v>10</v>
      </c>
      <c r="M8" s="285" t="s">
        <v>402</v>
      </c>
      <c r="N8" s="285" t="s">
        <v>403</v>
      </c>
      <c r="O8" s="285">
        <v>13</v>
      </c>
      <c r="P8" s="285">
        <v>14</v>
      </c>
      <c r="Q8" s="285" t="s">
        <v>404</v>
      </c>
      <c r="R8" s="285">
        <v>16</v>
      </c>
      <c r="S8" s="285">
        <v>17</v>
      </c>
      <c r="T8" s="285" t="s">
        <v>402</v>
      </c>
      <c r="U8" s="285" t="s">
        <v>403</v>
      </c>
      <c r="V8" s="285">
        <v>13</v>
      </c>
      <c r="W8" s="285">
        <v>14</v>
      </c>
      <c r="X8" s="285" t="s">
        <v>404</v>
      </c>
      <c r="Y8" s="285">
        <v>16</v>
      </c>
      <c r="Z8" s="285">
        <v>17</v>
      </c>
    </row>
    <row r="9" spans="1:26" s="55" customFormat="1" ht="22.5" customHeight="1">
      <c r="A9" s="295"/>
      <c r="B9" s="172" t="s">
        <v>206</v>
      </c>
      <c r="C9" s="448">
        <f>C10</f>
        <v>190680</v>
      </c>
      <c r="D9" s="448">
        <f aca="true" t="shared" si="0" ref="D9:Z9">D10</f>
        <v>93511</v>
      </c>
      <c r="E9" s="448">
        <f t="shared" si="0"/>
        <v>97169</v>
      </c>
      <c r="F9" s="448">
        <f t="shared" si="0"/>
        <v>0</v>
      </c>
      <c r="G9" s="448">
        <f t="shared" si="0"/>
        <v>52754</v>
      </c>
      <c r="H9" s="448">
        <f t="shared" si="0"/>
        <v>52754</v>
      </c>
      <c r="I9" s="448">
        <f t="shared" si="0"/>
        <v>0</v>
      </c>
      <c r="J9" s="448">
        <f t="shared" si="0"/>
        <v>61359</v>
      </c>
      <c r="K9" s="448">
        <f t="shared" si="0"/>
        <v>61359</v>
      </c>
      <c r="L9" s="448">
        <f t="shared" si="0"/>
        <v>0</v>
      </c>
      <c r="M9" s="448">
        <f t="shared" si="0"/>
        <v>0</v>
      </c>
      <c r="N9" s="448">
        <f t="shared" si="0"/>
        <v>39957</v>
      </c>
      <c r="O9" s="448">
        <f t="shared" si="0"/>
        <v>39957</v>
      </c>
      <c r="P9" s="448">
        <f t="shared" si="0"/>
        <v>0</v>
      </c>
      <c r="Q9" s="448">
        <f t="shared" si="0"/>
        <v>35240</v>
      </c>
      <c r="R9" s="448">
        <f t="shared" si="0"/>
        <v>35240</v>
      </c>
      <c r="S9" s="448">
        <f t="shared" si="0"/>
        <v>0</v>
      </c>
      <c r="T9" s="448">
        <f t="shared" si="0"/>
        <v>0</v>
      </c>
      <c r="U9" s="448">
        <f t="shared" si="0"/>
        <v>800</v>
      </c>
      <c r="V9" s="448">
        <f t="shared" si="0"/>
        <v>800</v>
      </c>
      <c r="W9" s="448">
        <f t="shared" si="0"/>
        <v>0</v>
      </c>
      <c r="X9" s="448">
        <f t="shared" si="0"/>
        <v>570</v>
      </c>
      <c r="Y9" s="448">
        <f t="shared" si="0"/>
        <v>570</v>
      </c>
      <c r="Z9" s="448">
        <f t="shared" si="0"/>
        <v>0</v>
      </c>
    </row>
    <row r="10" spans="1:26" s="55" customFormat="1" ht="27.75" customHeight="1">
      <c r="A10" s="295" t="s">
        <v>15</v>
      </c>
      <c r="B10" s="172" t="s">
        <v>381</v>
      </c>
      <c r="C10" s="448">
        <f>C11+C12</f>
        <v>190680</v>
      </c>
      <c r="D10" s="448">
        <f aca="true" t="shared" si="1" ref="D10:Z10">D11+D12</f>
        <v>93511</v>
      </c>
      <c r="E10" s="448">
        <f t="shared" si="1"/>
        <v>97169</v>
      </c>
      <c r="F10" s="448">
        <f t="shared" si="1"/>
        <v>0</v>
      </c>
      <c r="G10" s="448">
        <f t="shared" si="1"/>
        <v>52754</v>
      </c>
      <c r="H10" s="448">
        <f t="shared" si="1"/>
        <v>52754</v>
      </c>
      <c r="I10" s="448">
        <f t="shared" si="1"/>
        <v>0</v>
      </c>
      <c r="J10" s="448">
        <f t="shared" si="1"/>
        <v>61359</v>
      </c>
      <c r="K10" s="448">
        <f t="shared" si="1"/>
        <v>61359</v>
      </c>
      <c r="L10" s="448">
        <f t="shared" si="1"/>
        <v>0</v>
      </c>
      <c r="M10" s="448">
        <f t="shared" si="1"/>
        <v>0</v>
      </c>
      <c r="N10" s="448">
        <f t="shared" si="1"/>
        <v>39957</v>
      </c>
      <c r="O10" s="448">
        <f t="shared" si="1"/>
        <v>39957</v>
      </c>
      <c r="P10" s="448">
        <f t="shared" si="1"/>
        <v>0</v>
      </c>
      <c r="Q10" s="448">
        <f t="shared" si="1"/>
        <v>35240</v>
      </c>
      <c r="R10" s="448">
        <f t="shared" si="1"/>
        <v>35240</v>
      </c>
      <c r="S10" s="448">
        <f t="shared" si="1"/>
        <v>0</v>
      </c>
      <c r="T10" s="448">
        <f t="shared" si="1"/>
        <v>0</v>
      </c>
      <c r="U10" s="448">
        <f t="shared" si="1"/>
        <v>800</v>
      </c>
      <c r="V10" s="448">
        <f t="shared" si="1"/>
        <v>800</v>
      </c>
      <c r="W10" s="448">
        <f t="shared" si="1"/>
        <v>0</v>
      </c>
      <c r="X10" s="448">
        <f t="shared" si="1"/>
        <v>570</v>
      </c>
      <c r="Y10" s="448">
        <f t="shared" si="1"/>
        <v>570</v>
      </c>
      <c r="Z10" s="448">
        <f t="shared" si="1"/>
        <v>0</v>
      </c>
    </row>
    <row r="11" spans="1:26" s="12" customFormat="1" ht="42" customHeight="1">
      <c r="A11" s="286">
        <v>1</v>
      </c>
      <c r="B11" s="287" t="s">
        <v>415</v>
      </c>
      <c r="C11" s="446">
        <f>D11+E11</f>
        <v>93511</v>
      </c>
      <c r="D11" s="446">
        <f>G11+N11+U11</f>
        <v>93511</v>
      </c>
      <c r="E11" s="446">
        <f>J11+Q11+X11</f>
        <v>0</v>
      </c>
      <c r="F11" s="446"/>
      <c r="G11" s="446">
        <f>H11+I11</f>
        <v>52754</v>
      </c>
      <c r="H11" s="447">
        <v>52754</v>
      </c>
      <c r="I11" s="446"/>
      <c r="J11" s="446"/>
      <c r="K11" s="446"/>
      <c r="L11" s="446"/>
      <c r="M11" s="446"/>
      <c r="N11" s="447">
        <f>O11+P11</f>
        <v>39957</v>
      </c>
      <c r="O11" s="447">
        <v>39957</v>
      </c>
      <c r="P11" s="446"/>
      <c r="Q11" s="446"/>
      <c r="R11" s="446"/>
      <c r="S11" s="446"/>
      <c r="T11" s="446"/>
      <c r="U11" s="447">
        <f>V11+W11</f>
        <v>800</v>
      </c>
      <c r="V11" s="447">
        <v>800</v>
      </c>
      <c r="W11" s="446"/>
      <c r="X11" s="446"/>
      <c r="Y11" s="446"/>
      <c r="Z11" s="446"/>
    </row>
    <row r="12" spans="1:26" s="12" customFormat="1" ht="21.75" customHeight="1">
      <c r="A12" s="286">
        <v>2</v>
      </c>
      <c r="B12" s="287" t="s">
        <v>564</v>
      </c>
      <c r="C12" s="446">
        <f>D12+E12</f>
        <v>97169</v>
      </c>
      <c r="D12" s="446"/>
      <c r="E12" s="446">
        <f>J12+Q12+X12</f>
        <v>97169</v>
      </c>
      <c r="F12" s="446"/>
      <c r="G12" s="446"/>
      <c r="H12" s="447"/>
      <c r="I12" s="446"/>
      <c r="J12" s="446">
        <f>SUM(K12:L12)</f>
        <v>61359</v>
      </c>
      <c r="K12" s="446">
        <v>61359</v>
      </c>
      <c r="L12" s="446"/>
      <c r="M12" s="446"/>
      <c r="N12" s="446"/>
      <c r="O12" s="446"/>
      <c r="P12" s="446"/>
      <c r="Q12" s="446">
        <f>SUM(R12:S12)</f>
        <v>35240</v>
      </c>
      <c r="R12" s="446">
        <v>35240</v>
      </c>
      <c r="S12" s="446"/>
      <c r="T12" s="446"/>
      <c r="U12" s="446"/>
      <c r="V12" s="446"/>
      <c r="W12" s="446"/>
      <c r="X12" s="446">
        <f>SUM(Y12:Z12)</f>
        <v>570</v>
      </c>
      <c r="Y12" s="446">
        <v>570</v>
      </c>
      <c r="Z12" s="446"/>
    </row>
    <row r="13" spans="1:26" ht="21.75" customHeight="1">
      <c r="A13" s="285"/>
      <c r="B13" s="172"/>
      <c r="C13" s="446"/>
      <c r="D13" s="446"/>
      <c r="E13" s="446"/>
      <c r="F13" s="446"/>
      <c r="G13" s="446"/>
      <c r="H13" s="447"/>
      <c r="I13" s="446"/>
      <c r="J13" s="446"/>
      <c r="K13" s="446"/>
      <c r="L13" s="446"/>
      <c r="M13" s="446"/>
      <c r="N13" s="446"/>
      <c r="O13" s="446"/>
      <c r="P13" s="446"/>
      <c r="Q13" s="446"/>
      <c r="R13" s="446"/>
      <c r="S13" s="446"/>
      <c r="T13" s="446"/>
      <c r="U13" s="446"/>
      <c r="V13" s="446"/>
      <c r="W13" s="446"/>
      <c r="X13" s="446"/>
      <c r="Y13" s="446"/>
      <c r="Z13" s="446"/>
    </row>
    <row r="14" spans="1:26" ht="25.5" customHeight="1">
      <c r="A14" s="286"/>
      <c r="B14" s="287"/>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row>
    <row r="15" spans="1:19" ht="42.75" customHeight="1">
      <c r="A15" s="507" t="s">
        <v>416</v>
      </c>
      <c r="B15" s="507"/>
      <c r="C15" s="507"/>
      <c r="D15" s="507"/>
      <c r="E15" s="507"/>
      <c r="F15" s="507"/>
      <c r="G15" s="507"/>
      <c r="H15" s="507"/>
      <c r="I15" s="507"/>
      <c r="J15" s="507"/>
      <c r="K15" s="507"/>
      <c r="L15" s="507"/>
      <c r="M15" s="507"/>
      <c r="N15" s="507"/>
      <c r="O15" s="507"/>
      <c r="P15" s="507"/>
      <c r="Q15" s="507"/>
      <c r="R15" s="507"/>
      <c r="S15" s="507"/>
    </row>
    <row r="16" ht="14.25">
      <c r="A16" s="288"/>
    </row>
    <row r="17" ht="14.25">
      <c r="A17" s="288"/>
    </row>
    <row r="18" ht="14.25">
      <c r="A18" s="288"/>
    </row>
    <row r="19" ht="14.25">
      <c r="A19" s="288"/>
    </row>
    <row r="20" ht="14.25">
      <c r="A20" s="288"/>
    </row>
    <row r="21" ht="14.25">
      <c r="A21" s="288"/>
    </row>
    <row r="22" ht="14.25">
      <c r="A22" s="288"/>
    </row>
    <row r="23" ht="14.25">
      <c r="A23" s="288"/>
    </row>
    <row r="24" ht="14.25">
      <c r="A24" s="288"/>
    </row>
    <row r="25" ht="14.25">
      <c r="A25" s="288"/>
    </row>
    <row r="26" ht="14.25">
      <c r="A26" s="288"/>
    </row>
    <row r="27" ht="14.25">
      <c r="A27" s="288"/>
    </row>
    <row r="28" ht="14.25">
      <c r="A28" s="288"/>
    </row>
    <row r="29" ht="14.25">
      <c r="A29" s="288"/>
    </row>
    <row r="30" ht="14.25">
      <c r="A30" s="288"/>
    </row>
    <row r="31" ht="14.25">
      <c r="A31" s="288"/>
    </row>
    <row r="32" ht="14.25">
      <c r="A32" s="288"/>
    </row>
    <row r="33" ht="14.25">
      <c r="A33" s="288"/>
    </row>
    <row r="34" ht="14.25">
      <c r="A34" s="288"/>
    </row>
    <row r="35" ht="14.25">
      <c r="A35" s="288"/>
    </row>
    <row r="36" ht="14.25">
      <c r="A36" s="288"/>
    </row>
    <row r="37" ht="14.25">
      <c r="A37" s="288"/>
    </row>
    <row r="38" ht="14.25">
      <c r="A38" s="288"/>
    </row>
    <row r="39" ht="14.25">
      <c r="A39" s="288"/>
    </row>
  </sheetData>
  <sheetProtection/>
  <mergeCells count="21">
    <mergeCell ref="A15:S15"/>
    <mergeCell ref="M6:M7"/>
    <mergeCell ref="N6:P6"/>
    <mergeCell ref="Q6:S6"/>
    <mergeCell ref="A5:A7"/>
    <mergeCell ref="A2:Z2"/>
    <mergeCell ref="A3:Z3"/>
    <mergeCell ref="F6:F7"/>
    <mergeCell ref="G6:I6"/>
    <mergeCell ref="J6:L6"/>
    <mergeCell ref="D5:E5"/>
    <mergeCell ref="X6:Z6"/>
    <mergeCell ref="D6:D7"/>
    <mergeCell ref="B5:B7"/>
    <mergeCell ref="T6:T7"/>
    <mergeCell ref="M5:S5"/>
    <mergeCell ref="F5:L5"/>
    <mergeCell ref="T5:Z5"/>
    <mergeCell ref="E6:E7"/>
    <mergeCell ref="U6:W6"/>
    <mergeCell ref="C5:C7"/>
  </mergeCells>
  <printOptions/>
  <pageMargins left="0" right="0" top="0" bottom="0" header="0" footer="0.3"/>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rgb="FFFF0000"/>
  </sheetPr>
  <dimension ref="A1:W145"/>
  <sheetViews>
    <sheetView zoomScalePageLayoutView="0" workbookViewId="0" topLeftCell="A6">
      <selection activeCell="AB12" sqref="AB12"/>
    </sheetView>
  </sheetViews>
  <sheetFormatPr defaultColWidth="9.00390625" defaultRowHeight="14.25"/>
  <cols>
    <col min="1" max="1" width="3.625" style="186" customWidth="1"/>
    <col min="2" max="2" width="13.625" style="186" customWidth="1"/>
    <col min="3" max="4" width="10.75390625" style="186" customWidth="1"/>
    <col min="5" max="5" width="5.875" style="186" customWidth="1"/>
    <col min="6" max="6" width="5.125" style="186" customWidth="1"/>
    <col min="7" max="7" width="4.875" style="186" customWidth="1"/>
    <col min="8" max="8" width="4.25390625" style="186" customWidth="1"/>
    <col min="9" max="9" width="4.625" style="186" customWidth="1"/>
    <col min="10" max="10" width="4.875" style="186" customWidth="1"/>
    <col min="11" max="11" width="10.00390625" style="186" customWidth="1"/>
    <col min="12" max="12" width="7.75390625" style="186" customWidth="1"/>
    <col min="13" max="13" width="5.00390625" style="186" customWidth="1"/>
    <col min="14" max="14" width="4.625" style="186" customWidth="1"/>
    <col min="15" max="15" width="9.375" style="186" customWidth="1"/>
    <col min="16" max="16" width="4.375" style="186" customWidth="1"/>
    <col min="17" max="17" width="6.125" style="186" customWidth="1"/>
    <col min="18" max="18" width="5.375" style="186" customWidth="1"/>
    <col min="19" max="19" width="5.75390625" style="186" customWidth="1"/>
    <col min="20" max="20" width="6.00390625" style="186" customWidth="1"/>
    <col min="21" max="21" width="5.50390625" style="186" customWidth="1"/>
    <col min="22" max="16384" width="9.00390625" style="186" customWidth="1"/>
  </cols>
  <sheetData>
    <row r="1" ht="15">
      <c r="U1" s="113" t="s">
        <v>184</v>
      </c>
    </row>
    <row r="2" spans="1:21" ht="18.75" customHeight="1">
      <c r="A2" s="498" t="s">
        <v>386</v>
      </c>
      <c r="B2" s="498"/>
      <c r="C2" s="498"/>
      <c r="D2" s="498"/>
      <c r="E2" s="498"/>
      <c r="F2" s="498"/>
      <c r="G2" s="498"/>
      <c r="H2" s="498"/>
      <c r="I2" s="498"/>
      <c r="J2" s="498"/>
      <c r="K2" s="498"/>
      <c r="L2" s="498"/>
      <c r="M2" s="498"/>
      <c r="N2" s="498"/>
      <c r="O2" s="498"/>
      <c r="P2" s="498"/>
      <c r="Q2" s="498"/>
      <c r="R2" s="498"/>
      <c r="S2" s="498"/>
      <c r="T2" s="498"/>
      <c r="U2" s="498"/>
    </row>
    <row r="3" spans="1:21" ht="16.5" customHeight="1">
      <c r="A3" s="488" t="str">
        <f>'15'!A3:G3</f>
        <v>(Kèm theo Tờ trình số         /TTr-HĐND  ngày        tháng 12 năm 2022 của UBND huyện Hạ Lang)</v>
      </c>
      <c r="B3" s="488"/>
      <c r="C3" s="488"/>
      <c r="D3" s="488"/>
      <c r="E3" s="488"/>
      <c r="F3" s="488"/>
      <c r="G3" s="488"/>
      <c r="H3" s="488"/>
      <c r="I3" s="488"/>
      <c r="J3" s="488"/>
      <c r="K3" s="488"/>
      <c r="L3" s="488"/>
      <c r="M3" s="488"/>
      <c r="N3" s="488"/>
      <c r="O3" s="488"/>
      <c r="P3" s="488"/>
      <c r="Q3" s="488"/>
      <c r="R3" s="488"/>
      <c r="S3" s="488"/>
      <c r="T3" s="488"/>
      <c r="U3" s="488"/>
    </row>
    <row r="4" spans="17:21" ht="15">
      <c r="Q4" s="499" t="s">
        <v>9</v>
      </c>
      <c r="R4" s="499"/>
      <c r="S4" s="499"/>
      <c r="T4" s="499"/>
      <c r="U4" s="499"/>
    </row>
    <row r="5" spans="1:21" ht="15.75" customHeight="1">
      <c r="A5" s="485" t="s">
        <v>4</v>
      </c>
      <c r="B5" s="485" t="s">
        <v>220</v>
      </c>
      <c r="C5" s="485" t="s">
        <v>271</v>
      </c>
      <c r="D5" s="485" t="s">
        <v>272</v>
      </c>
      <c r="E5" s="485"/>
      <c r="F5" s="485"/>
      <c r="G5" s="485"/>
      <c r="H5" s="485"/>
      <c r="I5" s="485"/>
      <c r="J5" s="485"/>
      <c r="K5" s="485"/>
      <c r="L5" s="485"/>
      <c r="M5" s="485"/>
      <c r="N5" s="485"/>
      <c r="O5" s="485"/>
      <c r="P5" s="485"/>
      <c r="Q5" s="485" t="s">
        <v>273</v>
      </c>
      <c r="R5" s="485"/>
      <c r="S5" s="485"/>
      <c r="T5" s="485"/>
      <c r="U5" s="485" t="s">
        <v>37</v>
      </c>
    </row>
    <row r="6" spans="1:21" ht="13.5" customHeight="1">
      <c r="A6" s="485"/>
      <c r="B6" s="485"/>
      <c r="C6" s="485"/>
      <c r="D6" s="485" t="s">
        <v>210</v>
      </c>
      <c r="E6" s="485" t="s">
        <v>247</v>
      </c>
      <c r="F6" s="485"/>
      <c r="G6" s="485"/>
      <c r="H6" s="485"/>
      <c r="I6" s="485"/>
      <c r="J6" s="485"/>
      <c r="K6" s="485" t="s">
        <v>20</v>
      </c>
      <c r="L6" s="485"/>
      <c r="M6" s="485"/>
      <c r="N6" s="485" t="s">
        <v>274</v>
      </c>
      <c r="O6" s="485" t="s">
        <v>34</v>
      </c>
      <c r="P6" s="485" t="s">
        <v>275</v>
      </c>
      <c r="Q6" s="485" t="s">
        <v>210</v>
      </c>
      <c r="R6" s="485" t="s">
        <v>276</v>
      </c>
      <c r="S6" s="485" t="s">
        <v>277</v>
      </c>
      <c r="T6" s="485" t="s">
        <v>278</v>
      </c>
      <c r="U6" s="485"/>
    </row>
    <row r="7" spans="1:21" ht="15" customHeight="1">
      <c r="A7" s="485"/>
      <c r="B7" s="485"/>
      <c r="C7" s="485"/>
      <c r="D7" s="485"/>
      <c r="E7" s="485" t="s">
        <v>210</v>
      </c>
      <c r="F7" s="485" t="s">
        <v>257</v>
      </c>
      <c r="G7" s="485"/>
      <c r="H7" s="485" t="s">
        <v>279</v>
      </c>
      <c r="I7" s="485" t="s">
        <v>280</v>
      </c>
      <c r="J7" s="485" t="s">
        <v>86</v>
      </c>
      <c r="K7" s="485" t="s">
        <v>210</v>
      </c>
      <c r="L7" s="485" t="s">
        <v>257</v>
      </c>
      <c r="M7" s="485"/>
      <c r="N7" s="485"/>
      <c r="O7" s="485"/>
      <c r="P7" s="485"/>
      <c r="Q7" s="485"/>
      <c r="R7" s="485"/>
      <c r="S7" s="485"/>
      <c r="T7" s="485"/>
      <c r="U7" s="485"/>
    </row>
    <row r="8" spans="1:21" ht="150" customHeight="1">
      <c r="A8" s="485"/>
      <c r="B8" s="485"/>
      <c r="C8" s="485"/>
      <c r="D8" s="485"/>
      <c r="E8" s="485"/>
      <c r="F8" s="114" t="s">
        <v>281</v>
      </c>
      <c r="G8" s="114" t="s">
        <v>84</v>
      </c>
      <c r="H8" s="485"/>
      <c r="I8" s="485"/>
      <c r="J8" s="485"/>
      <c r="K8" s="485"/>
      <c r="L8" s="114" t="s">
        <v>282</v>
      </c>
      <c r="M8" s="114" t="s">
        <v>133</v>
      </c>
      <c r="N8" s="485"/>
      <c r="O8" s="485"/>
      <c r="P8" s="485"/>
      <c r="Q8" s="485"/>
      <c r="R8" s="485"/>
      <c r="S8" s="485"/>
      <c r="T8" s="485"/>
      <c r="U8" s="485"/>
    </row>
    <row r="9" spans="1:21" ht="23.25" customHeight="1">
      <c r="A9" s="224" t="s">
        <v>6</v>
      </c>
      <c r="B9" s="224" t="s">
        <v>7</v>
      </c>
      <c r="C9" s="224" t="s">
        <v>283</v>
      </c>
      <c r="D9" s="224" t="s">
        <v>284</v>
      </c>
      <c r="E9" s="224" t="s">
        <v>285</v>
      </c>
      <c r="F9" s="224">
        <v>4</v>
      </c>
      <c r="G9" s="224">
        <v>5</v>
      </c>
      <c r="H9" s="224">
        <v>6</v>
      </c>
      <c r="I9" s="224">
        <v>7</v>
      </c>
      <c r="J9" s="224">
        <v>8</v>
      </c>
      <c r="K9" s="224">
        <v>9</v>
      </c>
      <c r="L9" s="224">
        <v>10</v>
      </c>
      <c r="M9" s="224">
        <v>11</v>
      </c>
      <c r="N9" s="224">
        <v>12</v>
      </c>
      <c r="O9" s="224">
        <v>13</v>
      </c>
      <c r="P9" s="224">
        <v>14</v>
      </c>
      <c r="Q9" s="224" t="s">
        <v>286</v>
      </c>
      <c r="R9" s="224">
        <v>16</v>
      </c>
      <c r="S9" s="224">
        <v>17</v>
      </c>
      <c r="T9" s="224">
        <v>18</v>
      </c>
      <c r="U9" s="224">
        <v>19</v>
      </c>
    </row>
    <row r="10" spans="1:21" s="187" customFormat="1" ht="20.25" customHeight="1">
      <c r="A10" s="125"/>
      <c r="B10" s="125" t="s">
        <v>206</v>
      </c>
      <c r="C10" s="130">
        <f>SUM(C11:C23)</f>
        <v>53134.903000000006</v>
      </c>
      <c r="D10" s="130">
        <f>SUM(D11:D23)</f>
        <v>53134.903000000006</v>
      </c>
      <c r="E10" s="130"/>
      <c r="F10" s="130"/>
      <c r="G10" s="130"/>
      <c r="H10" s="130"/>
      <c r="I10" s="130"/>
      <c r="J10" s="130"/>
      <c r="K10" s="130">
        <f>SUM(K11:K23)</f>
        <v>52087.21400000001</v>
      </c>
      <c r="L10" s="130">
        <f>SUM(L11:L23)</f>
        <v>534.1959999999999</v>
      </c>
      <c r="M10" s="130"/>
      <c r="N10" s="130"/>
      <c r="O10" s="130">
        <f>SUM(O11:O23)</f>
        <v>1047.689</v>
      </c>
      <c r="P10" s="130">
        <v>0</v>
      </c>
      <c r="Q10" s="130">
        <v>0</v>
      </c>
      <c r="R10" s="130">
        <v>0</v>
      </c>
      <c r="S10" s="130">
        <v>0</v>
      </c>
      <c r="T10" s="130">
        <v>0</v>
      </c>
      <c r="U10" s="225">
        <v>0</v>
      </c>
    </row>
    <row r="11" spans="1:23" ht="16.5" customHeight="1">
      <c r="A11" s="126">
        <v>1</v>
      </c>
      <c r="B11" s="127" t="s">
        <v>307</v>
      </c>
      <c r="C11" s="191">
        <f>D11+Q11+U11</f>
        <v>4303.925</v>
      </c>
      <c r="D11" s="191">
        <f>E11+K11+O11</f>
        <v>4303.925</v>
      </c>
      <c r="E11" s="191"/>
      <c r="F11" s="191"/>
      <c r="G11" s="191"/>
      <c r="H11" s="191"/>
      <c r="I11" s="191"/>
      <c r="J11" s="191"/>
      <c r="K11" s="191">
        <v>4219.534000000001</v>
      </c>
      <c r="L11" s="191">
        <v>41.092</v>
      </c>
      <c r="M11" s="191"/>
      <c r="N11" s="191"/>
      <c r="O11" s="191">
        <v>84.391</v>
      </c>
      <c r="P11" s="191"/>
      <c r="Q11" s="191"/>
      <c r="R11" s="191"/>
      <c r="S11" s="191"/>
      <c r="T11" s="191"/>
      <c r="U11" s="191"/>
      <c r="W11" s="466"/>
    </row>
    <row r="12" spans="1:23" ht="16.5" customHeight="1">
      <c r="A12" s="126">
        <v>2</v>
      </c>
      <c r="B12" s="127" t="s">
        <v>309</v>
      </c>
      <c r="C12" s="191">
        <f aca="true" t="shared" si="0" ref="C12:C23">D12+Q12+U12</f>
        <v>4355.383</v>
      </c>
      <c r="D12" s="191">
        <f aca="true" t="shared" si="1" ref="D12:D23">E12+K12+O12</f>
        <v>4355.383</v>
      </c>
      <c r="E12" s="191"/>
      <c r="F12" s="191"/>
      <c r="G12" s="191"/>
      <c r="H12" s="191"/>
      <c r="I12" s="191"/>
      <c r="J12" s="191"/>
      <c r="K12" s="191">
        <v>4269.562</v>
      </c>
      <c r="L12" s="191">
        <v>41.092</v>
      </c>
      <c r="M12" s="191"/>
      <c r="N12" s="191"/>
      <c r="O12" s="191">
        <v>85.821</v>
      </c>
      <c r="P12" s="191"/>
      <c r="Q12" s="191"/>
      <c r="R12" s="191"/>
      <c r="S12" s="191"/>
      <c r="T12" s="191"/>
      <c r="U12" s="191"/>
      <c r="W12" s="466"/>
    </row>
    <row r="13" spans="1:23" ht="16.5" customHeight="1">
      <c r="A13" s="126">
        <v>3</v>
      </c>
      <c r="B13" s="127" t="s">
        <v>310</v>
      </c>
      <c r="C13" s="191">
        <f t="shared" si="0"/>
        <v>4342.061</v>
      </c>
      <c r="D13" s="191">
        <f t="shared" si="1"/>
        <v>4342.061</v>
      </c>
      <c r="E13" s="191"/>
      <c r="F13" s="191"/>
      <c r="G13" s="191"/>
      <c r="H13" s="191"/>
      <c r="I13" s="191"/>
      <c r="J13" s="191"/>
      <c r="K13" s="191">
        <v>4256.691</v>
      </c>
      <c r="L13" s="191">
        <v>41.092</v>
      </c>
      <c r="M13" s="191"/>
      <c r="N13" s="191"/>
      <c r="O13" s="191">
        <v>85.37</v>
      </c>
      <c r="P13" s="191"/>
      <c r="Q13" s="191"/>
      <c r="R13" s="191"/>
      <c r="S13" s="191"/>
      <c r="T13" s="191"/>
      <c r="U13" s="191"/>
      <c r="W13" s="466"/>
    </row>
    <row r="14" spans="1:23" ht="16.5" customHeight="1">
      <c r="A14" s="126">
        <v>4</v>
      </c>
      <c r="B14" s="127" t="s">
        <v>311</v>
      </c>
      <c r="C14" s="191">
        <f t="shared" si="0"/>
        <v>3801.768</v>
      </c>
      <c r="D14" s="191">
        <f t="shared" si="1"/>
        <v>3801.768</v>
      </c>
      <c r="E14" s="191"/>
      <c r="F14" s="191"/>
      <c r="G14" s="191"/>
      <c r="H14" s="191"/>
      <c r="I14" s="191"/>
      <c r="J14" s="191"/>
      <c r="K14" s="191">
        <v>3727.171</v>
      </c>
      <c r="L14" s="191">
        <v>41.092</v>
      </c>
      <c r="M14" s="191"/>
      <c r="N14" s="191"/>
      <c r="O14" s="191">
        <v>74.597</v>
      </c>
      <c r="P14" s="191"/>
      <c r="Q14" s="191"/>
      <c r="R14" s="191"/>
      <c r="S14" s="191"/>
      <c r="T14" s="191"/>
      <c r="U14" s="191"/>
      <c r="W14" s="466"/>
    </row>
    <row r="15" spans="1:23" ht="16.5" customHeight="1">
      <c r="A15" s="126">
        <v>5</v>
      </c>
      <c r="B15" s="127" t="s">
        <v>312</v>
      </c>
      <c r="C15" s="191">
        <f t="shared" si="0"/>
        <v>3629.896</v>
      </c>
      <c r="D15" s="191">
        <f t="shared" si="1"/>
        <v>3629.896</v>
      </c>
      <c r="E15" s="191"/>
      <c r="F15" s="191"/>
      <c r="G15" s="191"/>
      <c r="H15" s="191"/>
      <c r="I15" s="191"/>
      <c r="J15" s="191"/>
      <c r="K15" s="191">
        <v>3558.65</v>
      </c>
      <c r="L15" s="191">
        <v>41.092</v>
      </c>
      <c r="M15" s="191"/>
      <c r="N15" s="191"/>
      <c r="O15" s="191">
        <v>71.246</v>
      </c>
      <c r="P15" s="191"/>
      <c r="Q15" s="191"/>
      <c r="R15" s="191"/>
      <c r="S15" s="191"/>
      <c r="T15" s="191"/>
      <c r="U15" s="191"/>
      <c r="W15" s="466"/>
    </row>
    <row r="16" spans="1:23" ht="16.5" customHeight="1">
      <c r="A16" s="126">
        <v>6</v>
      </c>
      <c r="B16" s="127" t="s">
        <v>347</v>
      </c>
      <c r="C16" s="191">
        <f t="shared" si="0"/>
        <v>3562.772</v>
      </c>
      <c r="D16" s="191">
        <f t="shared" si="1"/>
        <v>3562.772</v>
      </c>
      <c r="E16" s="191"/>
      <c r="F16" s="191"/>
      <c r="G16" s="191"/>
      <c r="H16" s="191"/>
      <c r="I16" s="191"/>
      <c r="J16" s="191"/>
      <c r="K16" s="191">
        <v>3492.9139999999998</v>
      </c>
      <c r="L16" s="191">
        <v>41.092</v>
      </c>
      <c r="M16" s="191"/>
      <c r="N16" s="191"/>
      <c r="O16" s="191">
        <v>69.858</v>
      </c>
      <c r="P16" s="191"/>
      <c r="Q16" s="191"/>
      <c r="R16" s="191"/>
      <c r="S16" s="191"/>
      <c r="T16" s="191"/>
      <c r="U16" s="191"/>
      <c r="W16" s="466"/>
    </row>
    <row r="17" spans="1:23" ht="16.5" customHeight="1">
      <c r="A17" s="126">
        <v>7</v>
      </c>
      <c r="B17" s="127" t="s">
        <v>314</v>
      </c>
      <c r="C17" s="191">
        <f t="shared" si="0"/>
        <v>3880.674</v>
      </c>
      <c r="D17" s="191">
        <f t="shared" si="1"/>
        <v>3880.674</v>
      </c>
      <c r="E17" s="191"/>
      <c r="F17" s="191"/>
      <c r="G17" s="191"/>
      <c r="H17" s="191"/>
      <c r="I17" s="191"/>
      <c r="J17" s="191"/>
      <c r="K17" s="191">
        <v>3800.462</v>
      </c>
      <c r="L17" s="191">
        <v>41.092</v>
      </c>
      <c r="M17" s="191"/>
      <c r="N17" s="191"/>
      <c r="O17" s="191">
        <v>80.212</v>
      </c>
      <c r="P17" s="191"/>
      <c r="Q17" s="191"/>
      <c r="R17" s="191"/>
      <c r="S17" s="191"/>
      <c r="T17" s="191"/>
      <c r="U17" s="191"/>
      <c r="W17" s="466"/>
    </row>
    <row r="18" spans="1:23" ht="16.5" customHeight="1">
      <c r="A18" s="126">
        <v>8</v>
      </c>
      <c r="B18" s="127" t="s">
        <v>315</v>
      </c>
      <c r="C18" s="191">
        <f t="shared" si="0"/>
        <v>4383.762</v>
      </c>
      <c r="D18" s="191">
        <f t="shared" si="1"/>
        <v>4383.762</v>
      </c>
      <c r="E18" s="191"/>
      <c r="F18" s="191"/>
      <c r="G18" s="191"/>
      <c r="H18" s="191"/>
      <c r="I18" s="191"/>
      <c r="J18" s="191"/>
      <c r="K18" s="191">
        <v>4297.704</v>
      </c>
      <c r="L18" s="191">
        <v>41.092</v>
      </c>
      <c r="M18" s="191"/>
      <c r="N18" s="191"/>
      <c r="O18" s="191">
        <v>86.058</v>
      </c>
      <c r="P18" s="191"/>
      <c r="Q18" s="191"/>
      <c r="R18" s="191"/>
      <c r="S18" s="191"/>
      <c r="T18" s="191"/>
      <c r="U18" s="191"/>
      <c r="W18" s="466"/>
    </row>
    <row r="19" spans="1:23" ht="16.5" customHeight="1">
      <c r="A19" s="126">
        <v>9</v>
      </c>
      <c r="B19" s="127" t="s">
        <v>316</v>
      </c>
      <c r="C19" s="191">
        <f t="shared" si="0"/>
        <v>5313.13</v>
      </c>
      <c r="D19" s="191">
        <f t="shared" si="1"/>
        <v>5313.13</v>
      </c>
      <c r="E19" s="191"/>
      <c r="F19" s="191"/>
      <c r="G19" s="191"/>
      <c r="H19" s="191"/>
      <c r="I19" s="191"/>
      <c r="J19" s="191"/>
      <c r="K19" s="191">
        <v>5208.642</v>
      </c>
      <c r="L19" s="191">
        <v>41.092</v>
      </c>
      <c r="M19" s="191"/>
      <c r="N19" s="191"/>
      <c r="O19" s="191">
        <v>104.488</v>
      </c>
      <c r="P19" s="191"/>
      <c r="Q19" s="191"/>
      <c r="R19" s="191"/>
      <c r="S19" s="191"/>
      <c r="T19" s="191"/>
      <c r="U19" s="191"/>
      <c r="W19" s="466"/>
    </row>
    <row r="20" spans="1:23" ht="16.5" customHeight="1">
      <c r="A20" s="126">
        <v>10</v>
      </c>
      <c r="B20" s="127" t="s">
        <v>317</v>
      </c>
      <c r="C20" s="191">
        <f t="shared" si="0"/>
        <v>4245.889</v>
      </c>
      <c r="D20" s="191">
        <f t="shared" si="1"/>
        <v>4245.889</v>
      </c>
      <c r="E20" s="191"/>
      <c r="F20" s="191"/>
      <c r="G20" s="191"/>
      <c r="H20" s="191"/>
      <c r="I20" s="191"/>
      <c r="J20" s="191"/>
      <c r="K20" s="191">
        <v>4162.515</v>
      </c>
      <c r="L20" s="191">
        <v>41.092</v>
      </c>
      <c r="M20" s="191"/>
      <c r="N20" s="191"/>
      <c r="O20" s="191">
        <v>83.374</v>
      </c>
      <c r="P20" s="191"/>
      <c r="Q20" s="191"/>
      <c r="R20" s="191"/>
      <c r="S20" s="191"/>
      <c r="T20" s="191"/>
      <c r="U20" s="191"/>
      <c r="W20" s="466"/>
    </row>
    <row r="21" spans="1:23" ht="16.5" customHeight="1">
      <c r="A21" s="126">
        <v>11</v>
      </c>
      <c r="B21" s="127" t="s">
        <v>318</v>
      </c>
      <c r="C21" s="191">
        <f t="shared" si="0"/>
        <v>4077.044</v>
      </c>
      <c r="D21" s="191">
        <f t="shared" si="1"/>
        <v>4077.044</v>
      </c>
      <c r="E21" s="191"/>
      <c r="F21" s="191"/>
      <c r="G21" s="191"/>
      <c r="H21" s="191"/>
      <c r="I21" s="191"/>
      <c r="J21" s="191"/>
      <c r="K21" s="191">
        <v>3996.703</v>
      </c>
      <c r="L21" s="191">
        <v>41.092</v>
      </c>
      <c r="M21" s="191"/>
      <c r="N21" s="191"/>
      <c r="O21" s="191">
        <v>80.341</v>
      </c>
      <c r="P21" s="191"/>
      <c r="Q21" s="191"/>
      <c r="R21" s="191"/>
      <c r="S21" s="191"/>
      <c r="T21" s="191"/>
      <c r="U21" s="191"/>
      <c r="W21" s="466"/>
    </row>
    <row r="22" spans="1:23" ht="16.5" customHeight="1">
      <c r="A22" s="126">
        <v>12</v>
      </c>
      <c r="B22" s="127" t="s">
        <v>319</v>
      </c>
      <c r="C22" s="191">
        <f t="shared" si="0"/>
        <v>3714.785</v>
      </c>
      <c r="D22" s="191">
        <f t="shared" si="1"/>
        <v>3714.785</v>
      </c>
      <c r="E22" s="191"/>
      <c r="F22" s="191"/>
      <c r="G22" s="191"/>
      <c r="H22" s="191"/>
      <c r="I22" s="191"/>
      <c r="J22" s="191"/>
      <c r="K22" s="191">
        <v>3641.946</v>
      </c>
      <c r="L22" s="191">
        <v>41.092</v>
      </c>
      <c r="M22" s="191"/>
      <c r="N22" s="191"/>
      <c r="O22" s="191">
        <v>72.839</v>
      </c>
      <c r="P22" s="191"/>
      <c r="Q22" s="191"/>
      <c r="R22" s="191"/>
      <c r="S22" s="191"/>
      <c r="T22" s="191"/>
      <c r="U22" s="191"/>
      <c r="W22" s="466"/>
    </row>
    <row r="23" spans="1:23" ht="16.5" customHeight="1">
      <c r="A23" s="128">
        <v>13</v>
      </c>
      <c r="B23" s="129" t="s">
        <v>320</v>
      </c>
      <c r="C23" s="197">
        <f t="shared" si="0"/>
        <v>3523.814</v>
      </c>
      <c r="D23" s="197">
        <f t="shared" si="1"/>
        <v>3523.814</v>
      </c>
      <c r="E23" s="197"/>
      <c r="F23" s="197"/>
      <c r="G23" s="197"/>
      <c r="H23" s="197"/>
      <c r="I23" s="197"/>
      <c r="J23" s="197"/>
      <c r="K23" s="197">
        <v>3454.72</v>
      </c>
      <c r="L23" s="197">
        <v>41.092</v>
      </c>
      <c r="M23" s="197"/>
      <c r="N23" s="197"/>
      <c r="O23" s="197">
        <v>69.094</v>
      </c>
      <c r="P23" s="197"/>
      <c r="Q23" s="197"/>
      <c r="R23" s="197"/>
      <c r="S23" s="197"/>
      <c r="T23" s="197"/>
      <c r="U23" s="197"/>
      <c r="W23" s="466"/>
    </row>
    <row r="24" spans="1:21" ht="15">
      <c r="A24" s="90"/>
      <c r="B24" s="91"/>
      <c r="C24" s="92"/>
      <c r="D24" s="92"/>
      <c r="E24" s="92"/>
      <c r="F24" s="92"/>
      <c r="G24" s="92"/>
      <c r="H24" s="92"/>
      <c r="I24" s="92"/>
      <c r="J24" s="92"/>
      <c r="K24" s="92"/>
      <c r="L24" s="92"/>
      <c r="M24" s="92"/>
      <c r="N24" s="92"/>
      <c r="O24" s="92"/>
      <c r="P24" s="92"/>
      <c r="Q24" s="92"/>
      <c r="R24" s="92"/>
      <c r="S24" s="92"/>
      <c r="T24" s="92"/>
      <c r="U24" s="92"/>
    </row>
    <row r="25" spans="1:21" ht="15">
      <c r="A25" s="90"/>
      <c r="B25" s="91"/>
      <c r="C25" s="92"/>
      <c r="D25" s="92"/>
      <c r="E25" s="92"/>
      <c r="F25" s="92"/>
      <c r="G25" s="92"/>
      <c r="H25" s="92"/>
      <c r="I25" s="92"/>
      <c r="J25" s="92"/>
      <c r="K25" s="92"/>
      <c r="L25" s="92"/>
      <c r="M25" s="92"/>
      <c r="N25" s="92"/>
      <c r="O25" s="92"/>
      <c r="P25" s="92"/>
      <c r="Q25" s="92"/>
      <c r="R25" s="92"/>
      <c r="S25" s="92"/>
      <c r="T25" s="92"/>
      <c r="U25" s="92"/>
    </row>
    <row r="26" spans="1:21" ht="15">
      <c r="A26" s="90"/>
      <c r="B26" s="91"/>
      <c r="C26" s="92"/>
      <c r="D26" s="92"/>
      <c r="E26" s="92"/>
      <c r="F26" s="92"/>
      <c r="G26" s="92"/>
      <c r="H26" s="92"/>
      <c r="I26" s="92"/>
      <c r="J26" s="92"/>
      <c r="K26" s="92"/>
      <c r="L26" s="92"/>
      <c r="M26" s="92"/>
      <c r="N26" s="92"/>
      <c r="O26" s="92"/>
      <c r="P26" s="92"/>
      <c r="Q26" s="92"/>
      <c r="R26" s="92"/>
      <c r="S26" s="92"/>
      <c r="T26" s="92"/>
      <c r="U26" s="92"/>
    </row>
    <row r="27" spans="1:21" ht="15">
      <c r="A27" s="90"/>
      <c r="B27" s="91"/>
      <c r="C27" s="92"/>
      <c r="D27" s="92"/>
      <c r="E27" s="92"/>
      <c r="F27" s="92"/>
      <c r="G27" s="92"/>
      <c r="H27" s="92"/>
      <c r="I27" s="92"/>
      <c r="J27" s="92"/>
      <c r="K27" s="92"/>
      <c r="L27" s="92"/>
      <c r="M27" s="92"/>
      <c r="N27" s="92"/>
      <c r="O27" s="92"/>
      <c r="P27" s="92"/>
      <c r="Q27" s="92"/>
      <c r="R27" s="92"/>
      <c r="S27" s="92"/>
      <c r="T27" s="92"/>
      <c r="U27" s="92"/>
    </row>
    <row r="28" spans="1:21" ht="15">
      <c r="A28" s="90"/>
      <c r="B28" s="91"/>
      <c r="C28" s="92"/>
      <c r="D28" s="92"/>
      <c r="E28" s="92"/>
      <c r="F28" s="92"/>
      <c r="G28" s="92"/>
      <c r="H28" s="92"/>
      <c r="I28" s="92"/>
      <c r="J28" s="92"/>
      <c r="K28" s="92"/>
      <c r="L28" s="92"/>
      <c r="M28" s="92"/>
      <c r="N28" s="92"/>
      <c r="O28" s="92"/>
      <c r="P28" s="92"/>
      <c r="Q28" s="92"/>
      <c r="R28" s="92"/>
      <c r="S28" s="92"/>
      <c r="T28" s="92"/>
      <c r="U28" s="92"/>
    </row>
    <row r="29" spans="1:21" ht="15">
      <c r="A29" s="90"/>
      <c r="B29" s="91"/>
      <c r="C29" s="92"/>
      <c r="D29" s="92"/>
      <c r="E29" s="92"/>
      <c r="F29" s="92"/>
      <c r="G29" s="92"/>
      <c r="H29" s="92"/>
      <c r="I29" s="92"/>
      <c r="J29" s="92"/>
      <c r="K29" s="92"/>
      <c r="L29" s="92"/>
      <c r="M29" s="92"/>
      <c r="N29" s="92"/>
      <c r="O29" s="92"/>
      <c r="P29" s="92"/>
      <c r="Q29" s="92"/>
      <c r="R29" s="92"/>
      <c r="S29" s="92"/>
      <c r="T29" s="92"/>
      <c r="U29" s="92"/>
    </row>
    <row r="30" spans="1:21" ht="15">
      <c r="A30" s="90"/>
      <c r="B30" s="91"/>
      <c r="C30" s="92"/>
      <c r="D30" s="92"/>
      <c r="E30" s="92"/>
      <c r="F30" s="92"/>
      <c r="G30" s="92"/>
      <c r="H30" s="92"/>
      <c r="I30" s="92"/>
      <c r="J30" s="92"/>
      <c r="K30" s="92"/>
      <c r="L30" s="92"/>
      <c r="M30" s="92"/>
      <c r="N30" s="92"/>
      <c r="O30" s="92"/>
      <c r="P30" s="92"/>
      <c r="Q30" s="92"/>
      <c r="R30" s="92"/>
      <c r="S30" s="92"/>
      <c r="T30" s="92"/>
      <c r="U30" s="92"/>
    </row>
    <row r="31" spans="1:21" ht="15">
      <c r="A31" s="90"/>
      <c r="B31" s="91"/>
      <c r="C31" s="92"/>
      <c r="D31" s="92"/>
      <c r="E31" s="92"/>
      <c r="F31" s="92"/>
      <c r="G31" s="92"/>
      <c r="H31" s="92"/>
      <c r="I31" s="92"/>
      <c r="J31" s="92"/>
      <c r="K31" s="92"/>
      <c r="L31" s="92"/>
      <c r="M31" s="92"/>
      <c r="N31" s="92"/>
      <c r="O31" s="92"/>
      <c r="P31" s="92"/>
      <c r="Q31" s="92"/>
      <c r="R31" s="92"/>
      <c r="S31" s="92"/>
      <c r="T31" s="92"/>
      <c r="U31" s="92"/>
    </row>
    <row r="32" spans="1:21" ht="15">
      <c r="A32" s="90"/>
      <c r="B32" s="91"/>
      <c r="C32" s="92"/>
      <c r="D32" s="92"/>
      <c r="E32" s="92"/>
      <c r="F32" s="92"/>
      <c r="G32" s="92"/>
      <c r="H32" s="92"/>
      <c r="I32" s="92"/>
      <c r="J32" s="92"/>
      <c r="K32" s="92"/>
      <c r="L32" s="92"/>
      <c r="M32" s="92"/>
      <c r="N32" s="92"/>
      <c r="O32" s="92"/>
      <c r="P32" s="92"/>
      <c r="Q32" s="92"/>
      <c r="R32" s="92"/>
      <c r="S32" s="92"/>
      <c r="T32" s="92"/>
      <c r="U32" s="92"/>
    </row>
    <row r="33" spans="1:21" ht="15">
      <c r="A33" s="90"/>
      <c r="B33" s="91"/>
      <c r="C33" s="92"/>
      <c r="D33" s="92"/>
      <c r="E33" s="92"/>
      <c r="F33" s="92"/>
      <c r="G33" s="92"/>
      <c r="H33" s="92"/>
      <c r="I33" s="92"/>
      <c r="J33" s="92"/>
      <c r="K33" s="92"/>
      <c r="L33" s="92"/>
      <c r="M33" s="92"/>
      <c r="N33" s="92"/>
      <c r="O33" s="92"/>
      <c r="P33" s="92"/>
      <c r="Q33" s="92"/>
      <c r="R33" s="92"/>
      <c r="S33" s="92"/>
      <c r="T33" s="92"/>
      <c r="U33" s="92"/>
    </row>
    <row r="34" spans="1:21" ht="15">
      <c r="A34" s="90"/>
      <c r="B34" s="91"/>
      <c r="C34" s="92"/>
      <c r="D34" s="92"/>
      <c r="E34" s="92"/>
      <c r="F34" s="92"/>
      <c r="G34" s="92"/>
      <c r="H34" s="92"/>
      <c r="I34" s="92"/>
      <c r="J34" s="92"/>
      <c r="K34" s="92"/>
      <c r="L34" s="92"/>
      <c r="M34" s="92"/>
      <c r="N34" s="92"/>
      <c r="O34" s="92"/>
      <c r="P34" s="92"/>
      <c r="Q34" s="92"/>
      <c r="R34" s="92"/>
      <c r="S34" s="92"/>
      <c r="T34" s="92"/>
      <c r="U34" s="92"/>
    </row>
    <row r="35" spans="1:21" ht="15">
      <c r="A35" s="90"/>
      <c r="B35" s="91"/>
      <c r="C35" s="92"/>
      <c r="D35" s="92"/>
      <c r="E35" s="92"/>
      <c r="F35" s="92"/>
      <c r="G35" s="92"/>
      <c r="H35" s="92"/>
      <c r="I35" s="92"/>
      <c r="J35" s="92"/>
      <c r="K35" s="92"/>
      <c r="L35" s="92"/>
      <c r="M35" s="92"/>
      <c r="N35" s="92"/>
      <c r="O35" s="92"/>
      <c r="P35" s="92"/>
      <c r="Q35" s="92"/>
      <c r="R35" s="92"/>
      <c r="S35" s="92"/>
      <c r="T35" s="92"/>
      <c r="U35" s="92"/>
    </row>
    <row r="36" spans="1:21" ht="15">
      <c r="A36" s="90"/>
      <c r="B36" s="91"/>
      <c r="C36" s="92"/>
      <c r="D36" s="92"/>
      <c r="E36" s="92"/>
      <c r="F36" s="92"/>
      <c r="G36" s="92"/>
      <c r="H36" s="92"/>
      <c r="I36" s="92"/>
      <c r="J36" s="92"/>
      <c r="K36" s="92"/>
      <c r="L36" s="92"/>
      <c r="M36" s="92"/>
      <c r="N36" s="92"/>
      <c r="O36" s="92"/>
      <c r="P36" s="92"/>
      <c r="Q36" s="92"/>
      <c r="R36" s="92"/>
      <c r="S36" s="92"/>
      <c r="T36" s="92"/>
      <c r="U36" s="92"/>
    </row>
    <row r="37" spans="1:21" ht="15">
      <c r="A37" s="90"/>
      <c r="B37" s="91"/>
      <c r="C37" s="92"/>
      <c r="D37" s="92"/>
      <c r="E37" s="92"/>
      <c r="F37" s="92"/>
      <c r="G37" s="92"/>
      <c r="H37" s="92"/>
      <c r="I37" s="92"/>
      <c r="J37" s="92"/>
      <c r="K37" s="92"/>
      <c r="L37" s="92"/>
      <c r="M37" s="92"/>
      <c r="N37" s="92"/>
      <c r="O37" s="92"/>
      <c r="P37" s="92"/>
      <c r="Q37" s="92"/>
      <c r="R37" s="92"/>
      <c r="S37" s="92"/>
      <c r="T37" s="92"/>
      <c r="U37" s="92"/>
    </row>
    <row r="38" spans="1:21" ht="15">
      <c r="A38" s="90"/>
      <c r="B38" s="91"/>
      <c r="C38" s="92"/>
      <c r="D38" s="92"/>
      <c r="E38" s="92"/>
      <c r="F38" s="92"/>
      <c r="G38" s="92"/>
      <c r="H38" s="92"/>
      <c r="I38" s="92"/>
      <c r="J38" s="92"/>
      <c r="K38" s="92"/>
      <c r="L38" s="92"/>
      <c r="M38" s="92"/>
      <c r="N38" s="92"/>
      <c r="O38" s="92"/>
      <c r="P38" s="92"/>
      <c r="Q38" s="92"/>
      <c r="R38" s="92"/>
      <c r="S38" s="92"/>
      <c r="T38" s="92"/>
      <c r="U38" s="92"/>
    </row>
    <row r="39" spans="1:21" ht="15">
      <c r="A39" s="90"/>
      <c r="B39" s="91"/>
      <c r="C39" s="92"/>
      <c r="D39" s="92"/>
      <c r="E39" s="92"/>
      <c r="F39" s="92"/>
      <c r="G39" s="92"/>
      <c r="H39" s="92"/>
      <c r="I39" s="92"/>
      <c r="J39" s="92"/>
      <c r="K39" s="92"/>
      <c r="L39" s="92"/>
      <c r="M39" s="92"/>
      <c r="N39" s="92"/>
      <c r="O39" s="92"/>
      <c r="P39" s="92"/>
      <c r="Q39" s="92"/>
      <c r="R39" s="92"/>
      <c r="S39" s="92"/>
      <c r="T39" s="92"/>
      <c r="U39" s="92"/>
    </row>
    <row r="40" spans="1:21" ht="15">
      <c r="A40" s="90"/>
      <c r="B40" s="91"/>
      <c r="C40" s="92"/>
      <c r="D40" s="92"/>
      <c r="E40" s="92"/>
      <c r="F40" s="92"/>
      <c r="G40" s="92"/>
      <c r="H40" s="92"/>
      <c r="I40" s="92"/>
      <c r="J40" s="92"/>
      <c r="K40" s="92"/>
      <c r="L40" s="92"/>
      <c r="M40" s="92"/>
      <c r="N40" s="92"/>
      <c r="O40" s="92"/>
      <c r="P40" s="92"/>
      <c r="Q40" s="92"/>
      <c r="R40" s="92"/>
      <c r="S40" s="92"/>
      <c r="T40" s="92"/>
      <c r="U40" s="92"/>
    </row>
    <row r="41" spans="1:21" ht="15">
      <c r="A41" s="90"/>
      <c r="B41" s="91"/>
      <c r="C41" s="92"/>
      <c r="D41" s="92"/>
      <c r="E41" s="92"/>
      <c r="F41" s="92"/>
      <c r="G41" s="92"/>
      <c r="H41" s="92"/>
      <c r="I41" s="92"/>
      <c r="J41" s="92"/>
      <c r="K41" s="92"/>
      <c r="L41" s="92"/>
      <c r="M41" s="92"/>
      <c r="N41" s="92"/>
      <c r="O41" s="92"/>
      <c r="P41" s="92"/>
      <c r="Q41" s="92"/>
      <c r="R41" s="92"/>
      <c r="S41" s="92"/>
      <c r="T41" s="92"/>
      <c r="U41" s="92"/>
    </row>
    <row r="42" spans="1:21" ht="15">
      <c r="A42" s="90"/>
      <c r="B42" s="91"/>
      <c r="C42" s="92"/>
      <c r="D42" s="92"/>
      <c r="E42" s="92"/>
      <c r="F42" s="92"/>
      <c r="G42" s="92"/>
      <c r="H42" s="92"/>
      <c r="I42" s="92"/>
      <c r="J42" s="92"/>
      <c r="K42" s="92"/>
      <c r="L42" s="92"/>
      <c r="M42" s="92"/>
      <c r="N42" s="92"/>
      <c r="O42" s="92"/>
      <c r="P42" s="92"/>
      <c r="Q42" s="92"/>
      <c r="R42" s="92"/>
      <c r="S42" s="92"/>
      <c r="T42" s="92"/>
      <c r="U42" s="92"/>
    </row>
    <row r="43" spans="1:21" ht="15">
      <c r="A43" s="90"/>
      <c r="B43" s="91"/>
      <c r="C43" s="92"/>
      <c r="D43" s="92"/>
      <c r="E43" s="92"/>
      <c r="F43" s="92"/>
      <c r="G43" s="92"/>
      <c r="H43" s="92"/>
      <c r="I43" s="92"/>
      <c r="J43" s="92"/>
      <c r="K43" s="92"/>
      <c r="L43" s="92"/>
      <c r="M43" s="92"/>
      <c r="N43" s="92"/>
      <c r="O43" s="92"/>
      <c r="P43" s="92"/>
      <c r="Q43" s="92"/>
      <c r="R43" s="92"/>
      <c r="S43" s="92"/>
      <c r="T43" s="92"/>
      <c r="U43" s="92"/>
    </row>
    <row r="44" spans="1:21" ht="15">
      <c r="A44" s="90"/>
      <c r="B44" s="91"/>
      <c r="C44" s="92"/>
      <c r="D44" s="92"/>
      <c r="E44" s="92"/>
      <c r="F44" s="92"/>
      <c r="G44" s="92"/>
      <c r="H44" s="92"/>
      <c r="I44" s="92"/>
      <c r="J44" s="92"/>
      <c r="K44" s="92"/>
      <c r="L44" s="92"/>
      <c r="M44" s="92"/>
      <c r="N44" s="92"/>
      <c r="O44" s="92"/>
      <c r="P44" s="92"/>
      <c r="Q44" s="92"/>
      <c r="R44" s="92"/>
      <c r="S44" s="92"/>
      <c r="T44" s="92"/>
      <c r="U44" s="92"/>
    </row>
    <row r="45" spans="1:21" ht="15">
      <c r="A45" s="90"/>
      <c r="B45" s="91"/>
      <c r="C45" s="92"/>
      <c r="D45" s="92"/>
      <c r="E45" s="92"/>
      <c r="F45" s="92"/>
      <c r="G45" s="92"/>
      <c r="H45" s="92"/>
      <c r="I45" s="92"/>
      <c r="J45" s="92"/>
      <c r="K45" s="92"/>
      <c r="L45" s="92"/>
      <c r="M45" s="92"/>
      <c r="N45" s="92"/>
      <c r="O45" s="92"/>
      <c r="P45" s="92"/>
      <c r="Q45" s="92"/>
      <c r="R45" s="92"/>
      <c r="S45" s="92"/>
      <c r="T45" s="92"/>
      <c r="U45" s="92"/>
    </row>
    <row r="46" spans="1:21" ht="15">
      <c r="A46" s="90"/>
      <c r="B46" s="91"/>
      <c r="C46" s="92"/>
      <c r="D46" s="92"/>
      <c r="E46" s="92"/>
      <c r="F46" s="92"/>
      <c r="G46" s="92"/>
      <c r="H46" s="92"/>
      <c r="I46" s="92"/>
      <c r="J46" s="92"/>
      <c r="K46" s="92"/>
      <c r="L46" s="92"/>
      <c r="M46" s="92"/>
      <c r="N46" s="92"/>
      <c r="O46" s="92"/>
      <c r="P46" s="92"/>
      <c r="Q46" s="92"/>
      <c r="R46" s="92"/>
      <c r="S46" s="92"/>
      <c r="T46" s="92"/>
      <c r="U46" s="92"/>
    </row>
    <row r="47" spans="1:21" ht="15">
      <c r="A47" s="90"/>
      <c r="B47" s="91"/>
      <c r="C47" s="92"/>
      <c r="D47" s="92"/>
      <c r="E47" s="92"/>
      <c r="F47" s="92"/>
      <c r="G47" s="92"/>
      <c r="H47" s="92"/>
      <c r="I47" s="92"/>
      <c r="J47" s="92"/>
      <c r="K47" s="92"/>
      <c r="L47" s="92"/>
      <c r="M47" s="92"/>
      <c r="N47" s="92"/>
      <c r="O47" s="92"/>
      <c r="P47" s="92"/>
      <c r="Q47" s="92"/>
      <c r="R47" s="92"/>
      <c r="S47" s="92"/>
      <c r="T47" s="92"/>
      <c r="U47" s="92"/>
    </row>
    <row r="48" spans="1:21" ht="15">
      <c r="A48" s="90"/>
      <c r="B48" s="91"/>
      <c r="C48" s="92"/>
      <c r="D48" s="92"/>
      <c r="E48" s="92"/>
      <c r="F48" s="92"/>
      <c r="G48" s="92"/>
      <c r="H48" s="92"/>
      <c r="I48" s="92"/>
      <c r="J48" s="92"/>
      <c r="K48" s="92"/>
      <c r="L48" s="92"/>
      <c r="M48" s="92"/>
      <c r="N48" s="92"/>
      <c r="O48" s="92"/>
      <c r="P48" s="92"/>
      <c r="Q48" s="92"/>
      <c r="R48" s="92"/>
      <c r="S48" s="92"/>
      <c r="T48" s="92"/>
      <c r="U48" s="92"/>
    </row>
    <row r="49" spans="1:21" ht="15">
      <c r="A49" s="90"/>
      <c r="B49" s="91"/>
      <c r="C49" s="92"/>
      <c r="D49" s="92"/>
      <c r="E49" s="92"/>
      <c r="F49" s="92"/>
      <c r="G49" s="92"/>
      <c r="H49" s="92"/>
      <c r="I49" s="92"/>
      <c r="J49" s="92"/>
      <c r="K49" s="92"/>
      <c r="L49" s="92"/>
      <c r="M49" s="92"/>
      <c r="N49" s="92"/>
      <c r="O49" s="92"/>
      <c r="P49" s="92"/>
      <c r="Q49" s="92"/>
      <c r="R49" s="92"/>
      <c r="S49" s="92"/>
      <c r="T49" s="92"/>
      <c r="U49" s="92"/>
    </row>
    <row r="50" spans="1:21" ht="15">
      <c r="A50" s="90"/>
      <c r="B50" s="91"/>
      <c r="C50" s="92"/>
      <c r="D50" s="92"/>
      <c r="E50" s="92"/>
      <c r="F50" s="92"/>
      <c r="G50" s="92"/>
      <c r="H50" s="92"/>
      <c r="I50" s="92"/>
      <c r="J50" s="92"/>
      <c r="K50" s="92"/>
      <c r="L50" s="92"/>
      <c r="M50" s="92"/>
      <c r="N50" s="92"/>
      <c r="O50" s="92"/>
      <c r="P50" s="92"/>
      <c r="Q50" s="92"/>
      <c r="R50" s="92"/>
      <c r="S50" s="92"/>
      <c r="T50" s="92"/>
      <c r="U50" s="92"/>
    </row>
    <row r="51" spans="1:21" ht="15">
      <c r="A51" s="93" t="s">
        <v>217</v>
      </c>
      <c r="C51" s="208"/>
      <c r="D51" s="208"/>
      <c r="E51" s="208"/>
      <c r="F51" s="208"/>
      <c r="G51" s="208"/>
      <c r="H51" s="208"/>
      <c r="I51" s="208"/>
      <c r="J51" s="208"/>
      <c r="K51" s="208"/>
      <c r="L51" s="208"/>
      <c r="M51" s="208"/>
      <c r="N51" s="208"/>
      <c r="O51" s="208"/>
      <c r="P51" s="208"/>
      <c r="Q51" s="208"/>
      <c r="R51" s="208"/>
      <c r="S51" s="208"/>
      <c r="T51" s="208"/>
      <c r="U51" s="208"/>
    </row>
    <row r="52" spans="1:21" ht="15">
      <c r="A52" s="94" t="s">
        <v>287</v>
      </c>
      <c r="C52" s="208"/>
      <c r="D52" s="208"/>
      <c r="E52" s="208"/>
      <c r="F52" s="208"/>
      <c r="G52" s="208"/>
      <c r="H52" s="208"/>
      <c r="I52" s="208"/>
      <c r="J52" s="208"/>
      <c r="K52" s="208"/>
      <c r="L52" s="208"/>
      <c r="M52" s="208"/>
      <c r="N52" s="208"/>
      <c r="O52" s="208"/>
      <c r="P52" s="208"/>
      <c r="Q52" s="208"/>
      <c r="R52" s="208"/>
      <c r="S52" s="208"/>
      <c r="T52" s="208"/>
      <c r="U52" s="208"/>
    </row>
    <row r="53" spans="1:21" ht="15">
      <c r="A53" s="94" t="s">
        <v>288</v>
      </c>
      <c r="C53" s="208"/>
      <c r="D53" s="208"/>
      <c r="E53" s="208"/>
      <c r="F53" s="208"/>
      <c r="G53" s="208"/>
      <c r="H53" s="208"/>
      <c r="I53" s="208"/>
      <c r="J53" s="208"/>
      <c r="K53" s="208"/>
      <c r="L53" s="208"/>
      <c r="M53" s="208"/>
      <c r="N53" s="208"/>
      <c r="O53" s="208"/>
      <c r="P53" s="208"/>
      <c r="Q53" s="208"/>
      <c r="R53" s="208"/>
      <c r="S53" s="208"/>
      <c r="T53" s="208"/>
      <c r="U53" s="208"/>
    </row>
    <row r="54" spans="3:21" ht="15">
      <c r="C54" s="208"/>
      <c r="D54" s="208"/>
      <c r="E54" s="208"/>
      <c r="F54" s="208"/>
      <c r="G54" s="208"/>
      <c r="H54" s="208"/>
      <c r="I54" s="208"/>
      <c r="J54" s="208"/>
      <c r="K54" s="208"/>
      <c r="L54" s="208"/>
      <c r="M54" s="208"/>
      <c r="N54" s="208"/>
      <c r="O54" s="208"/>
      <c r="P54" s="208"/>
      <c r="Q54" s="208"/>
      <c r="R54" s="208"/>
      <c r="S54" s="208"/>
      <c r="T54" s="208"/>
      <c r="U54" s="208"/>
    </row>
    <row r="55" spans="3:21" ht="15">
      <c r="C55" s="208"/>
      <c r="D55" s="208"/>
      <c r="E55" s="208"/>
      <c r="F55" s="208"/>
      <c r="G55" s="208"/>
      <c r="H55" s="208"/>
      <c r="I55" s="208"/>
      <c r="J55" s="208"/>
      <c r="K55" s="208"/>
      <c r="L55" s="208"/>
      <c r="M55" s="208"/>
      <c r="N55" s="208"/>
      <c r="O55" s="208"/>
      <c r="P55" s="208"/>
      <c r="Q55" s="208"/>
      <c r="R55" s="208"/>
      <c r="S55" s="208"/>
      <c r="T55" s="208"/>
      <c r="U55" s="208"/>
    </row>
    <row r="56" spans="3:21" ht="15">
      <c r="C56" s="208"/>
      <c r="D56" s="208"/>
      <c r="E56" s="208"/>
      <c r="F56" s="208"/>
      <c r="G56" s="208"/>
      <c r="H56" s="208"/>
      <c r="I56" s="208"/>
      <c r="J56" s="208"/>
      <c r="K56" s="208"/>
      <c r="L56" s="208"/>
      <c r="M56" s="208"/>
      <c r="N56" s="208"/>
      <c r="O56" s="208"/>
      <c r="P56" s="208"/>
      <c r="Q56" s="208"/>
      <c r="R56" s="208"/>
      <c r="S56" s="208"/>
      <c r="T56" s="208"/>
      <c r="U56" s="208"/>
    </row>
    <row r="57" spans="3:21" ht="15">
      <c r="C57" s="208"/>
      <c r="D57" s="208"/>
      <c r="E57" s="208"/>
      <c r="F57" s="208"/>
      <c r="G57" s="208"/>
      <c r="H57" s="208"/>
      <c r="I57" s="208"/>
      <c r="J57" s="208"/>
      <c r="K57" s="208"/>
      <c r="L57" s="208"/>
      <c r="M57" s="208"/>
      <c r="N57" s="208"/>
      <c r="O57" s="208"/>
      <c r="P57" s="208"/>
      <c r="Q57" s="208"/>
      <c r="R57" s="208"/>
      <c r="S57" s="208"/>
      <c r="T57" s="208"/>
      <c r="U57" s="208"/>
    </row>
    <row r="58" spans="3:21" ht="15">
      <c r="C58" s="208"/>
      <c r="D58" s="208"/>
      <c r="E58" s="208"/>
      <c r="F58" s="208"/>
      <c r="G58" s="208"/>
      <c r="H58" s="208"/>
      <c r="I58" s="208"/>
      <c r="J58" s="208"/>
      <c r="K58" s="208"/>
      <c r="L58" s="208"/>
      <c r="M58" s="208"/>
      <c r="N58" s="208"/>
      <c r="O58" s="208"/>
      <c r="P58" s="208"/>
      <c r="Q58" s="208"/>
      <c r="R58" s="208"/>
      <c r="S58" s="208"/>
      <c r="T58" s="208"/>
      <c r="U58" s="208"/>
    </row>
    <row r="59" spans="3:21" ht="15">
      <c r="C59" s="208"/>
      <c r="D59" s="208"/>
      <c r="E59" s="208"/>
      <c r="F59" s="208"/>
      <c r="G59" s="208"/>
      <c r="H59" s="208"/>
      <c r="I59" s="208"/>
      <c r="J59" s="208"/>
      <c r="K59" s="208"/>
      <c r="L59" s="208"/>
      <c r="M59" s="208"/>
      <c r="N59" s="208"/>
      <c r="O59" s="208"/>
      <c r="P59" s="208"/>
      <c r="Q59" s="208"/>
      <c r="R59" s="208"/>
      <c r="S59" s="208"/>
      <c r="T59" s="208"/>
      <c r="U59" s="208"/>
    </row>
    <row r="60" spans="3:21" ht="15">
      <c r="C60" s="208"/>
      <c r="D60" s="208"/>
      <c r="E60" s="208"/>
      <c r="F60" s="208"/>
      <c r="G60" s="208"/>
      <c r="H60" s="208"/>
      <c r="I60" s="208"/>
      <c r="J60" s="208"/>
      <c r="K60" s="208"/>
      <c r="L60" s="208"/>
      <c r="M60" s="208"/>
      <c r="N60" s="208"/>
      <c r="O60" s="208"/>
      <c r="P60" s="208"/>
      <c r="Q60" s="208"/>
      <c r="R60" s="208"/>
      <c r="S60" s="208"/>
      <c r="T60" s="208"/>
      <c r="U60" s="208"/>
    </row>
    <row r="61" spans="3:21" ht="15">
      <c r="C61" s="208"/>
      <c r="D61" s="208"/>
      <c r="E61" s="208"/>
      <c r="F61" s="208"/>
      <c r="G61" s="208"/>
      <c r="H61" s="208"/>
      <c r="I61" s="208"/>
      <c r="J61" s="208"/>
      <c r="K61" s="208"/>
      <c r="L61" s="208"/>
      <c r="M61" s="208"/>
      <c r="N61" s="208"/>
      <c r="O61" s="208"/>
      <c r="P61" s="208"/>
      <c r="Q61" s="208"/>
      <c r="R61" s="208"/>
      <c r="S61" s="208"/>
      <c r="T61" s="208"/>
      <c r="U61" s="208"/>
    </row>
    <row r="62" spans="3:21" ht="15">
      <c r="C62" s="208"/>
      <c r="D62" s="208"/>
      <c r="E62" s="208"/>
      <c r="F62" s="208"/>
      <c r="G62" s="208"/>
      <c r="H62" s="208"/>
      <c r="I62" s="208"/>
      <c r="J62" s="208"/>
      <c r="K62" s="208"/>
      <c r="L62" s="208"/>
      <c r="M62" s="208"/>
      <c r="N62" s="208"/>
      <c r="O62" s="208"/>
      <c r="P62" s="208"/>
      <c r="Q62" s="208"/>
      <c r="R62" s="208"/>
      <c r="S62" s="208"/>
      <c r="T62" s="208"/>
      <c r="U62" s="208"/>
    </row>
    <row r="63" spans="3:21" ht="15">
      <c r="C63" s="208"/>
      <c r="D63" s="208"/>
      <c r="E63" s="208"/>
      <c r="F63" s="208"/>
      <c r="G63" s="208"/>
      <c r="H63" s="208"/>
      <c r="I63" s="208"/>
      <c r="J63" s="208"/>
      <c r="K63" s="208"/>
      <c r="L63" s="208"/>
      <c r="M63" s="208"/>
      <c r="N63" s="208"/>
      <c r="O63" s="208"/>
      <c r="P63" s="208"/>
      <c r="Q63" s="208"/>
      <c r="R63" s="208"/>
      <c r="S63" s="208"/>
      <c r="T63" s="208"/>
      <c r="U63" s="208"/>
    </row>
    <row r="64" spans="3:21" ht="15">
      <c r="C64" s="208"/>
      <c r="D64" s="208"/>
      <c r="E64" s="208"/>
      <c r="F64" s="208"/>
      <c r="G64" s="208"/>
      <c r="H64" s="208"/>
      <c r="I64" s="208"/>
      <c r="J64" s="208"/>
      <c r="K64" s="208"/>
      <c r="L64" s="208"/>
      <c r="M64" s="208"/>
      <c r="N64" s="208"/>
      <c r="O64" s="208"/>
      <c r="P64" s="208"/>
      <c r="Q64" s="208"/>
      <c r="R64" s="208"/>
      <c r="S64" s="208"/>
      <c r="T64" s="208"/>
      <c r="U64" s="208"/>
    </row>
    <row r="65" spans="3:21" ht="15">
      <c r="C65" s="208"/>
      <c r="D65" s="208"/>
      <c r="E65" s="208"/>
      <c r="F65" s="208"/>
      <c r="G65" s="208"/>
      <c r="H65" s="208"/>
      <c r="I65" s="208"/>
      <c r="J65" s="208"/>
      <c r="K65" s="208"/>
      <c r="L65" s="208"/>
      <c r="M65" s="208"/>
      <c r="N65" s="208"/>
      <c r="O65" s="208"/>
      <c r="P65" s="208"/>
      <c r="Q65" s="208"/>
      <c r="R65" s="208"/>
      <c r="S65" s="208"/>
      <c r="T65" s="208"/>
      <c r="U65" s="208"/>
    </row>
    <row r="66" spans="3:21" ht="15">
      <c r="C66" s="208"/>
      <c r="D66" s="208"/>
      <c r="E66" s="208"/>
      <c r="F66" s="208"/>
      <c r="G66" s="208"/>
      <c r="H66" s="208"/>
      <c r="I66" s="208"/>
      <c r="J66" s="208"/>
      <c r="K66" s="208"/>
      <c r="L66" s="208"/>
      <c r="M66" s="208"/>
      <c r="N66" s="208"/>
      <c r="O66" s="208"/>
      <c r="P66" s="208"/>
      <c r="Q66" s="208"/>
      <c r="R66" s="208"/>
      <c r="S66" s="208"/>
      <c r="T66" s="208"/>
      <c r="U66" s="208"/>
    </row>
    <row r="67" spans="3:21" ht="15">
      <c r="C67" s="208"/>
      <c r="D67" s="208"/>
      <c r="E67" s="208"/>
      <c r="F67" s="208"/>
      <c r="G67" s="208"/>
      <c r="H67" s="208"/>
      <c r="I67" s="208"/>
      <c r="J67" s="208"/>
      <c r="K67" s="208"/>
      <c r="L67" s="208"/>
      <c r="M67" s="208"/>
      <c r="N67" s="208"/>
      <c r="O67" s="208"/>
      <c r="P67" s="208"/>
      <c r="Q67" s="208"/>
      <c r="R67" s="208"/>
      <c r="S67" s="208"/>
      <c r="T67" s="208"/>
      <c r="U67" s="208"/>
    </row>
    <row r="68" spans="3:21" ht="15">
      <c r="C68" s="208"/>
      <c r="D68" s="208"/>
      <c r="E68" s="208"/>
      <c r="F68" s="208"/>
      <c r="G68" s="208"/>
      <c r="H68" s="208"/>
      <c r="I68" s="208"/>
      <c r="J68" s="208"/>
      <c r="K68" s="208"/>
      <c r="L68" s="208"/>
      <c r="M68" s="208"/>
      <c r="N68" s="208"/>
      <c r="O68" s="208"/>
      <c r="P68" s="208"/>
      <c r="Q68" s="208"/>
      <c r="R68" s="208"/>
      <c r="S68" s="208"/>
      <c r="T68" s="208"/>
      <c r="U68" s="208"/>
    </row>
    <row r="69" spans="3:21" ht="15">
      <c r="C69" s="208"/>
      <c r="D69" s="208"/>
      <c r="E69" s="208"/>
      <c r="F69" s="208"/>
      <c r="G69" s="208"/>
      <c r="H69" s="208"/>
      <c r="I69" s="208"/>
      <c r="J69" s="208"/>
      <c r="K69" s="208"/>
      <c r="L69" s="208"/>
      <c r="M69" s="208"/>
      <c r="N69" s="208"/>
      <c r="O69" s="208"/>
      <c r="P69" s="208"/>
      <c r="Q69" s="208"/>
      <c r="R69" s="208"/>
      <c r="S69" s="208"/>
      <c r="T69" s="208"/>
      <c r="U69" s="208"/>
    </row>
    <row r="70" spans="3:21" ht="15">
      <c r="C70" s="208"/>
      <c r="D70" s="208"/>
      <c r="E70" s="208"/>
      <c r="F70" s="208"/>
      <c r="G70" s="208"/>
      <c r="H70" s="208"/>
      <c r="I70" s="208"/>
      <c r="J70" s="208"/>
      <c r="K70" s="208"/>
      <c r="L70" s="208"/>
      <c r="M70" s="208"/>
      <c r="N70" s="208"/>
      <c r="O70" s="208"/>
      <c r="P70" s="208"/>
      <c r="Q70" s="208"/>
      <c r="R70" s="208"/>
      <c r="S70" s="208"/>
      <c r="T70" s="208"/>
      <c r="U70" s="208"/>
    </row>
    <row r="71" spans="3:21" ht="15">
      <c r="C71" s="208"/>
      <c r="D71" s="208"/>
      <c r="E71" s="208"/>
      <c r="F71" s="208"/>
      <c r="G71" s="208"/>
      <c r="H71" s="208"/>
      <c r="I71" s="208"/>
      <c r="J71" s="208"/>
      <c r="K71" s="208"/>
      <c r="L71" s="208"/>
      <c r="M71" s="208"/>
      <c r="N71" s="208"/>
      <c r="O71" s="208"/>
      <c r="P71" s="208"/>
      <c r="Q71" s="208"/>
      <c r="R71" s="208"/>
      <c r="S71" s="208"/>
      <c r="T71" s="208"/>
      <c r="U71" s="208"/>
    </row>
    <row r="72" spans="3:21" ht="15">
      <c r="C72" s="208"/>
      <c r="D72" s="208"/>
      <c r="E72" s="208"/>
      <c r="F72" s="208"/>
      <c r="G72" s="208"/>
      <c r="H72" s="208"/>
      <c r="I72" s="208"/>
      <c r="J72" s="208"/>
      <c r="K72" s="208"/>
      <c r="L72" s="208"/>
      <c r="M72" s="208"/>
      <c r="N72" s="208"/>
      <c r="O72" s="208"/>
      <c r="P72" s="208"/>
      <c r="Q72" s="208"/>
      <c r="R72" s="208"/>
      <c r="S72" s="208"/>
      <c r="T72" s="208"/>
      <c r="U72" s="208"/>
    </row>
    <row r="73" spans="3:21" ht="15">
      <c r="C73" s="208"/>
      <c r="D73" s="208"/>
      <c r="E73" s="208"/>
      <c r="F73" s="208"/>
      <c r="G73" s="208"/>
      <c r="H73" s="208"/>
      <c r="I73" s="208"/>
      <c r="J73" s="208"/>
      <c r="K73" s="208"/>
      <c r="L73" s="208"/>
      <c r="M73" s="208"/>
      <c r="N73" s="208"/>
      <c r="O73" s="208"/>
      <c r="P73" s="208"/>
      <c r="Q73" s="208"/>
      <c r="R73" s="208"/>
      <c r="S73" s="208"/>
      <c r="T73" s="208"/>
      <c r="U73" s="208"/>
    </row>
    <row r="74" spans="3:21" ht="15">
      <c r="C74" s="208"/>
      <c r="D74" s="208"/>
      <c r="E74" s="208"/>
      <c r="F74" s="208"/>
      <c r="G74" s="208"/>
      <c r="H74" s="208"/>
      <c r="I74" s="208"/>
      <c r="J74" s="208"/>
      <c r="K74" s="208"/>
      <c r="L74" s="208"/>
      <c r="M74" s="208"/>
      <c r="N74" s="208"/>
      <c r="O74" s="208"/>
      <c r="P74" s="208"/>
      <c r="Q74" s="208"/>
      <c r="R74" s="208"/>
      <c r="S74" s="208"/>
      <c r="T74" s="208"/>
      <c r="U74" s="208"/>
    </row>
    <row r="75" spans="3:21" ht="15">
      <c r="C75" s="208"/>
      <c r="D75" s="208"/>
      <c r="E75" s="208"/>
      <c r="F75" s="208"/>
      <c r="G75" s="208"/>
      <c r="H75" s="208"/>
      <c r="I75" s="208"/>
      <c r="J75" s="208"/>
      <c r="K75" s="208"/>
      <c r="L75" s="208"/>
      <c r="M75" s="208"/>
      <c r="N75" s="208"/>
      <c r="O75" s="208"/>
      <c r="P75" s="208"/>
      <c r="Q75" s="208"/>
      <c r="R75" s="208"/>
      <c r="S75" s="208"/>
      <c r="T75" s="208"/>
      <c r="U75" s="208"/>
    </row>
    <row r="76" spans="3:21" ht="15">
      <c r="C76" s="208"/>
      <c r="D76" s="208"/>
      <c r="E76" s="208"/>
      <c r="F76" s="208"/>
      <c r="G76" s="208"/>
      <c r="H76" s="208"/>
      <c r="I76" s="208"/>
      <c r="J76" s="208"/>
      <c r="K76" s="208"/>
      <c r="L76" s="208"/>
      <c r="M76" s="208"/>
      <c r="N76" s="208"/>
      <c r="O76" s="208"/>
      <c r="P76" s="208"/>
      <c r="Q76" s="208"/>
      <c r="R76" s="208"/>
      <c r="S76" s="208"/>
      <c r="T76" s="208"/>
      <c r="U76" s="208"/>
    </row>
    <row r="77" spans="3:21" ht="15">
      <c r="C77" s="208"/>
      <c r="D77" s="208"/>
      <c r="E77" s="208"/>
      <c r="F77" s="208"/>
      <c r="G77" s="208"/>
      <c r="H77" s="208"/>
      <c r="I77" s="208"/>
      <c r="J77" s="208"/>
      <c r="K77" s="208"/>
      <c r="L77" s="208"/>
      <c r="M77" s="208"/>
      <c r="N77" s="208"/>
      <c r="O77" s="208"/>
      <c r="P77" s="208"/>
      <c r="Q77" s="208"/>
      <c r="R77" s="208"/>
      <c r="S77" s="208"/>
      <c r="T77" s="208"/>
      <c r="U77" s="208"/>
    </row>
    <row r="78" spans="3:21" ht="15">
      <c r="C78" s="208"/>
      <c r="D78" s="208"/>
      <c r="E78" s="208"/>
      <c r="F78" s="208"/>
      <c r="G78" s="208"/>
      <c r="H78" s="208"/>
      <c r="I78" s="208"/>
      <c r="J78" s="208"/>
      <c r="K78" s="208"/>
      <c r="L78" s="208"/>
      <c r="M78" s="208"/>
      <c r="N78" s="208"/>
      <c r="O78" s="208"/>
      <c r="P78" s="208"/>
      <c r="Q78" s="208"/>
      <c r="R78" s="208"/>
      <c r="S78" s="208"/>
      <c r="T78" s="208"/>
      <c r="U78" s="208"/>
    </row>
    <row r="79" spans="3:21" ht="15">
      <c r="C79" s="208"/>
      <c r="D79" s="208"/>
      <c r="E79" s="208"/>
      <c r="F79" s="208"/>
      <c r="G79" s="208"/>
      <c r="H79" s="208"/>
      <c r="I79" s="208"/>
      <c r="J79" s="208"/>
      <c r="K79" s="208"/>
      <c r="L79" s="208"/>
      <c r="M79" s="208"/>
      <c r="N79" s="208"/>
      <c r="O79" s="208"/>
      <c r="P79" s="208"/>
      <c r="Q79" s="208"/>
      <c r="R79" s="208"/>
      <c r="S79" s="208"/>
      <c r="T79" s="208"/>
      <c r="U79" s="208"/>
    </row>
    <row r="80" spans="3:21" ht="15">
      <c r="C80" s="208"/>
      <c r="D80" s="208"/>
      <c r="E80" s="208"/>
      <c r="F80" s="208"/>
      <c r="G80" s="208"/>
      <c r="H80" s="208"/>
      <c r="I80" s="208"/>
      <c r="J80" s="208"/>
      <c r="K80" s="208"/>
      <c r="L80" s="208"/>
      <c r="M80" s="208"/>
      <c r="N80" s="208"/>
      <c r="O80" s="208"/>
      <c r="P80" s="208"/>
      <c r="Q80" s="208"/>
      <c r="R80" s="208"/>
      <c r="S80" s="208"/>
      <c r="T80" s="208"/>
      <c r="U80" s="208"/>
    </row>
    <row r="81" spans="3:21" ht="15">
      <c r="C81" s="208"/>
      <c r="D81" s="208"/>
      <c r="E81" s="208"/>
      <c r="F81" s="208"/>
      <c r="G81" s="208"/>
      <c r="H81" s="208"/>
      <c r="I81" s="208"/>
      <c r="J81" s="208"/>
      <c r="K81" s="208"/>
      <c r="L81" s="208"/>
      <c r="M81" s="208"/>
      <c r="N81" s="208"/>
      <c r="O81" s="208"/>
      <c r="P81" s="208"/>
      <c r="Q81" s="208"/>
      <c r="R81" s="208"/>
      <c r="S81" s="208"/>
      <c r="T81" s="208"/>
      <c r="U81" s="208"/>
    </row>
    <row r="82" spans="3:21" ht="15">
      <c r="C82" s="208"/>
      <c r="D82" s="208"/>
      <c r="E82" s="208"/>
      <c r="F82" s="208"/>
      <c r="G82" s="208"/>
      <c r="H82" s="208"/>
      <c r="I82" s="208"/>
      <c r="J82" s="208"/>
      <c r="K82" s="208"/>
      <c r="L82" s="208"/>
      <c r="M82" s="208"/>
      <c r="N82" s="208"/>
      <c r="O82" s="208"/>
      <c r="P82" s="208"/>
      <c r="Q82" s="208"/>
      <c r="R82" s="208"/>
      <c r="S82" s="208"/>
      <c r="T82" s="208"/>
      <c r="U82" s="208"/>
    </row>
    <row r="83" spans="3:21" ht="15">
      <c r="C83" s="208"/>
      <c r="D83" s="208"/>
      <c r="E83" s="208"/>
      <c r="F83" s="208"/>
      <c r="G83" s="208"/>
      <c r="H83" s="208"/>
      <c r="I83" s="208"/>
      <c r="J83" s="208"/>
      <c r="K83" s="208"/>
      <c r="L83" s="208"/>
      <c r="M83" s="208"/>
      <c r="N83" s="208"/>
      <c r="O83" s="208"/>
      <c r="P83" s="208"/>
      <c r="Q83" s="208"/>
      <c r="R83" s="208"/>
      <c r="S83" s="208"/>
      <c r="T83" s="208"/>
      <c r="U83" s="208"/>
    </row>
    <row r="84" spans="3:21" ht="15">
      <c r="C84" s="208"/>
      <c r="D84" s="208"/>
      <c r="E84" s="208"/>
      <c r="F84" s="208"/>
      <c r="G84" s="208"/>
      <c r="H84" s="208"/>
      <c r="I84" s="208"/>
      <c r="J84" s="208"/>
      <c r="K84" s="208"/>
      <c r="L84" s="208"/>
      <c r="M84" s="208"/>
      <c r="N84" s="208"/>
      <c r="O84" s="208"/>
      <c r="P84" s="208"/>
      <c r="Q84" s="208"/>
      <c r="R84" s="208"/>
      <c r="S84" s="208"/>
      <c r="T84" s="208"/>
      <c r="U84" s="208"/>
    </row>
    <row r="85" spans="3:21" ht="15">
      <c r="C85" s="208"/>
      <c r="D85" s="208"/>
      <c r="E85" s="208"/>
      <c r="F85" s="208"/>
      <c r="G85" s="208"/>
      <c r="H85" s="208"/>
      <c r="I85" s="208"/>
      <c r="J85" s="208"/>
      <c r="K85" s="208"/>
      <c r="L85" s="208"/>
      <c r="M85" s="208"/>
      <c r="N85" s="208"/>
      <c r="O85" s="208"/>
      <c r="P85" s="208"/>
      <c r="Q85" s="208"/>
      <c r="R85" s="208"/>
      <c r="S85" s="208"/>
      <c r="T85" s="208"/>
      <c r="U85" s="208"/>
    </row>
    <row r="86" spans="3:21" ht="15">
      <c r="C86" s="208"/>
      <c r="D86" s="208"/>
      <c r="E86" s="208"/>
      <c r="F86" s="208"/>
      <c r="G86" s="208"/>
      <c r="H86" s="208"/>
      <c r="I86" s="208"/>
      <c r="J86" s="208"/>
      <c r="K86" s="208"/>
      <c r="L86" s="208"/>
      <c r="M86" s="208"/>
      <c r="N86" s="208"/>
      <c r="O86" s="208"/>
      <c r="P86" s="208"/>
      <c r="Q86" s="208"/>
      <c r="R86" s="208"/>
      <c r="S86" s="208"/>
      <c r="T86" s="208"/>
      <c r="U86" s="208"/>
    </row>
    <row r="87" spans="3:21" ht="15">
      <c r="C87" s="208"/>
      <c r="D87" s="208"/>
      <c r="E87" s="208"/>
      <c r="F87" s="208"/>
      <c r="G87" s="208"/>
      <c r="H87" s="208"/>
      <c r="I87" s="208"/>
      <c r="J87" s="208"/>
      <c r="K87" s="208"/>
      <c r="L87" s="208"/>
      <c r="M87" s="208"/>
      <c r="N87" s="208"/>
      <c r="O87" s="208"/>
      <c r="P87" s="208"/>
      <c r="Q87" s="208"/>
      <c r="R87" s="208"/>
      <c r="S87" s="208"/>
      <c r="T87" s="208"/>
      <c r="U87" s="208"/>
    </row>
    <row r="88" spans="3:21" ht="15">
      <c r="C88" s="208"/>
      <c r="D88" s="208"/>
      <c r="E88" s="208"/>
      <c r="F88" s="208"/>
      <c r="G88" s="208"/>
      <c r="H88" s="208"/>
      <c r="I88" s="208"/>
      <c r="J88" s="208"/>
      <c r="K88" s="208"/>
      <c r="L88" s="208"/>
      <c r="M88" s="208"/>
      <c r="N88" s="208"/>
      <c r="O88" s="208"/>
      <c r="P88" s="208"/>
      <c r="Q88" s="208"/>
      <c r="R88" s="208"/>
      <c r="S88" s="208"/>
      <c r="T88" s="208"/>
      <c r="U88" s="208"/>
    </row>
    <row r="89" spans="3:21" ht="15">
      <c r="C89" s="208"/>
      <c r="D89" s="208"/>
      <c r="E89" s="208"/>
      <c r="F89" s="208"/>
      <c r="G89" s="208"/>
      <c r="H89" s="208"/>
      <c r="I89" s="208"/>
      <c r="J89" s="208"/>
      <c r="K89" s="208"/>
      <c r="L89" s="208"/>
      <c r="M89" s="208"/>
      <c r="N89" s="208"/>
      <c r="O89" s="208"/>
      <c r="P89" s="208"/>
      <c r="Q89" s="208"/>
      <c r="R89" s="208"/>
      <c r="S89" s="208"/>
      <c r="T89" s="208"/>
      <c r="U89" s="208"/>
    </row>
    <row r="90" spans="3:21" ht="15">
      <c r="C90" s="208"/>
      <c r="D90" s="208"/>
      <c r="E90" s="208"/>
      <c r="F90" s="208"/>
      <c r="G90" s="208"/>
      <c r="H90" s="208"/>
      <c r="I90" s="208"/>
      <c r="J90" s="208"/>
      <c r="K90" s="208"/>
      <c r="L90" s="208"/>
      <c r="M90" s="208"/>
      <c r="N90" s="208"/>
      <c r="O90" s="208"/>
      <c r="P90" s="208"/>
      <c r="Q90" s="208"/>
      <c r="R90" s="208"/>
      <c r="S90" s="208"/>
      <c r="T90" s="208"/>
      <c r="U90" s="208"/>
    </row>
    <row r="91" spans="3:21" ht="15">
      <c r="C91" s="208"/>
      <c r="D91" s="208"/>
      <c r="E91" s="208"/>
      <c r="F91" s="208"/>
      <c r="G91" s="208"/>
      <c r="H91" s="208"/>
      <c r="I91" s="208"/>
      <c r="J91" s="208"/>
      <c r="K91" s="208"/>
      <c r="L91" s="208"/>
      <c r="M91" s="208"/>
      <c r="N91" s="208"/>
      <c r="O91" s="208"/>
      <c r="P91" s="208"/>
      <c r="Q91" s="208"/>
      <c r="R91" s="208"/>
      <c r="S91" s="208"/>
      <c r="T91" s="208"/>
      <c r="U91" s="208"/>
    </row>
    <row r="92" spans="3:21" ht="15">
      <c r="C92" s="208"/>
      <c r="D92" s="208"/>
      <c r="E92" s="208"/>
      <c r="F92" s="208"/>
      <c r="G92" s="208"/>
      <c r="H92" s="208"/>
      <c r="I92" s="208"/>
      <c r="J92" s="208"/>
      <c r="K92" s="208"/>
      <c r="L92" s="208"/>
      <c r="M92" s="208"/>
      <c r="N92" s="208"/>
      <c r="O92" s="208"/>
      <c r="P92" s="208"/>
      <c r="Q92" s="208"/>
      <c r="R92" s="208"/>
      <c r="S92" s="208"/>
      <c r="T92" s="208"/>
      <c r="U92" s="208"/>
    </row>
    <row r="93" spans="3:21" ht="15">
      <c r="C93" s="208"/>
      <c r="D93" s="208"/>
      <c r="E93" s="208"/>
      <c r="F93" s="208"/>
      <c r="G93" s="208"/>
      <c r="H93" s="208"/>
      <c r="I93" s="208"/>
      <c r="J93" s="208"/>
      <c r="K93" s="208"/>
      <c r="L93" s="208"/>
      <c r="M93" s="208"/>
      <c r="N93" s="208"/>
      <c r="O93" s="208"/>
      <c r="P93" s="208"/>
      <c r="Q93" s="208"/>
      <c r="R93" s="208"/>
      <c r="S93" s="208"/>
      <c r="T93" s="208"/>
      <c r="U93" s="208"/>
    </row>
    <row r="94" spans="3:21" ht="15">
      <c r="C94" s="208"/>
      <c r="D94" s="208"/>
      <c r="E94" s="208"/>
      <c r="F94" s="208"/>
      <c r="G94" s="208"/>
      <c r="H94" s="208"/>
      <c r="I94" s="208"/>
      <c r="J94" s="208"/>
      <c r="K94" s="208"/>
      <c r="L94" s="208"/>
      <c r="M94" s="208"/>
      <c r="N94" s="208"/>
      <c r="O94" s="208"/>
      <c r="P94" s="208"/>
      <c r="Q94" s="208"/>
      <c r="R94" s="208"/>
      <c r="S94" s="208"/>
      <c r="T94" s="208"/>
      <c r="U94" s="208"/>
    </row>
    <row r="95" spans="3:21" ht="15">
      <c r="C95" s="208"/>
      <c r="D95" s="208"/>
      <c r="E95" s="208"/>
      <c r="F95" s="208"/>
      <c r="G95" s="208"/>
      <c r="H95" s="208"/>
      <c r="I95" s="208"/>
      <c r="J95" s="208"/>
      <c r="K95" s="208"/>
      <c r="L95" s="208"/>
      <c r="M95" s="208"/>
      <c r="N95" s="208"/>
      <c r="O95" s="208"/>
      <c r="P95" s="208"/>
      <c r="Q95" s="208"/>
      <c r="R95" s="208"/>
      <c r="S95" s="208"/>
      <c r="T95" s="208"/>
      <c r="U95" s="208"/>
    </row>
    <row r="96" spans="3:21" ht="15">
      <c r="C96" s="208"/>
      <c r="D96" s="208"/>
      <c r="E96" s="208"/>
      <c r="F96" s="208"/>
      <c r="G96" s="208"/>
      <c r="H96" s="208"/>
      <c r="I96" s="208"/>
      <c r="J96" s="208"/>
      <c r="K96" s="208"/>
      <c r="L96" s="208"/>
      <c r="M96" s="208"/>
      <c r="N96" s="208"/>
      <c r="O96" s="208"/>
      <c r="P96" s="208"/>
      <c r="Q96" s="208"/>
      <c r="R96" s="208"/>
      <c r="S96" s="208"/>
      <c r="T96" s="208"/>
      <c r="U96" s="208"/>
    </row>
    <row r="97" spans="3:21" ht="15">
      <c r="C97" s="208"/>
      <c r="D97" s="208"/>
      <c r="E97" s="208"/>
      <c r="F97" s="208"/>
      <c r="G97" s="208"/>
      <c r="H97" s="208"/>
      <c r="I97" s="208"/>
      <c r="J97" s="208"/>
      <c r="K97" s="208"/>
      <c r="L97" s="208"/>
      <c r="M97" s="208"/>
      <c r="N97" s="208"/>
      <c r="O97" s="208"/>
      <c r="P97" s="208"/>
      <c r="Q97" s="208"/>
      <c r="R97" s="208"/>
      <c r="S97" s="208"/>
      <c r="T97" s="208"/>
      <c r="U97" s="208"/>
    </row>
    <row r="98" spans="3:21" ht="15">
      <c r="C98" s="208"/>
      <c r="D98" s="208"/>
      <c r="E98" s="208"/>
      <c r="F98" s="208"/>
      <c r="G98" s="208"/>
      <c r="H98" s="208"/>
      <c r="I98" s="208"/>
      <c r="J98" s="208"/>
      <c r="K98" s="208"/>
      <c r="L98" s="208"/>
      <c r="M98" s="208"/>
      <c r="N98" s="208"/>
      <c r="O98" s="208"/>
      <c r="P98" s="208"/>
      <c r="Q98" s="208"/>
      <c r="R98" s="208"/>
      <c r="S98" s="208"/>
      <c r="T98" s="208"/>
      <c r="U98" s="208"/>
    </row>
    <row r="99" spans="3:21" ht="15">
      <c r="C99" s="208"/>
      <c r="D99" s="208"/>
      <c r="E99" s="208"/>
      <c r="F99" s="208"/>
      <c r="G99" s="208"/>
      <c r="H99" s="208"/>
      <c r="I99" s="208"/>
      <c r="J99" s="208"/>
      <c r="K99" s="208"/>
      <c r="L99" s="208"/>
      <c r="M99" s="208"/>
      <c r="N99" s="208"/>
      <c r="O99" s="208"/>
      <c r="P99" s="208"/>
      <c r="Q99" s="208"/>
      <c r="R99" s="208"/>
      <c r="S99" s="208"/>
      <c r="T99" s="208"/>
      <c r="U99" s="208"/>
    </row>
    <row r="100" spans="3:21" ht="15">
      <c r="C100" s="208"/>
      <c r="D100" s="208"/>
      <c r="E100" s="208"/>
      <c r="F100" s="208"/>
      <c r="G100" s="208"/>
      <c r="H100" s="208"/>
      <c r="I100" s="208"/>
      <c r="J100" s="208"/>
      <c r="K100" s="208"/>
      <c r="L100" s="208"/>
      <c r="M100" s="208"/>
      <c r="N100" s="208"/>
      <c r="O100" s="208"/>
      <c r="P100" s="208"/>
      <c r="Q100" s="208"/>
      <c r="R100" s="208"/>
      <c r="S100" s="208"/>
      <c r="T100" s="208"/>
      <c r="U100" s="208"/>
    </row>
    <row r="101" spans="3:21" ht="15">
      <c r="C101" s="208"/>
      <c r="D101" s="208"/>
      <c r="E101" s="208"/>
      <c r="F101" s="208"/>
      <c r="G101" s="208"/>
      <c r="H101" s="208"/>
      <c r="I101" s="208"/>
      <c r="J101" s="208"/>
      <c r="K101" s="208"/>
      <c r="L101" s="208"/>
      <c r="M101" s="208"/>
      <c r="N101" s="208"/>
      <c r="O101" s="208"/>
      <c r="P101" s="208"/>
      <c r="Q101" s="208"/>
      <c r="R101" s="208"/>
      <c r="S101" s="208"/>
      <c r="T101" s="208"/>
      <c r="U101" s="208"/>
    </row>
    <row r="102" spans="3:21" ht="15">
      <c r="C102" s="208"/>
      <c r="D102" s="208"/>
      <c r="E102" s="208"/>
      <c r="F102" s="208"/>
      <c r="G102" s="208"/>
      <c r="H102" s="208"/>
      <c r="I102" s="208"/>
      <c r="J102" s="208"/>
      <c r="K102" s="208"/>
      <c r="L102" s="208"/>
      <c r="M102" s="208"/>
      <c r="N102" s="208"/>
      <c r="O102" s="208"/>
      <c r="P102" s="208"/>
      <c r="Q102" s="208"/>
      <c r="R102" s="208"/>
      <c r="S102" s="208"/>
      <c r="T102" s="208"/>
      <c r="U102" s="208"/>
    </row>
    <row r="103" spans="3:21" ht="15">
      <c r="C103" s="208"/>
      <c r="D103" s="208"/>
      <c r="E103" s="208"/>
      <c r="F103" s="208"/>
      <c r="G103" s="208"/>
      <c r="H103" s="208"/>
      <c r="I103" s="208"/>
      <c r="J103" s="208"/>
      <c r="K103" s="208"/>
      <c r="L103" s="208"/>
      <c r="M103" s="208"/>
      <c r="N103" s="208"/>
      <c r="O103" s="208"/>
      <c r="P103" s="208"/>
      <c r="Q103" s="208"/>
      <c r="R103" s="208"/>
      <c r="S103" s="208"/>
      <c r="T103" s="208"/>
      <c r="U103" s="208"/>
    </row>
    <row r="104" spans="3:21" ht="15">
      <c r="C104" s="208"/>
      <c r="D104" s="208"/>
      <c r="E104" s="208"/>
      <c r="F104" s="208"/>
      <c r="G104" s="208"/>
      <c r="H104" s="208"/>
      <c r="I104" s="208"/>
      <c r="J104" s="208"/>
      <c r="K104" s="208"/>
      <c r="L104" s="208"/>
      <c r="M104" s="208"/>
      <c r="N104" s="208"/>
      <c r="O104" s="208"/>
      <c r="P104" s="208"/>
      <c r="Q104" s="208"/>
      <c r="R104" s="208"/>
      <c r="S104" s="208"/>
      <c r="T104" s="208"/>
      <c r="U104" s="208"/>
    </row>
    <row r="105" spans="3:21" ht="15">
      <c r="C105" s="208"/>
      <c r="D105" s="208"/>
      <c r="E105" s="208"/>
      <c r="F105" s="208"/>
      <c r="G105" s="208"/>
      <c r="H105" s="208"/>
      <c r="I105" s="208"/>
      <c r="J105" s="208"/>
      <c r="K105" s="208"/>
      <c r="L105" s="208"/>
      <c r="M105" s="208"/>
      <c r="N105" s="208"/>
      <c r="O105" s="208"/>
      <c r="P105" s="208"/>
      <c r="Q105" s="208"/>
      <c r="R105" s="208"/>
      <c r="S105" s="208"/>
      <c r="T105" s="208"/>
      <c r="U105" s="208"/>
    </row>
    <row r="106" spans="3:21" ht="15">
      <c r="C106" s="208"/>
      <c r="D106" s="208"/>
      <c r="E106" s="208"/>
      <c r="F106" s="208"/>
      <c r="G106" s="208"/>
      <c r="H106" s="208"/>
      <c r="I106" s="208"/>
      <c r="J106" s="208"/>
      <c r="K106" s="208"/>
      <c r="L106" s="208"/>
      <c r="M106" s="208"/>
      <c r="N106" s="208"/>
      <c r="O106" s="208"/>
      <c r="P106" s="208"/>
      <c r="Q106" s="208"/>
      <c r="R106" s="208"/>
      <c r="S106" s="208"/>
      <c r="T106" s="208"/>
      <c r="U106" s="208"/>
    </row>
    <row r="107" spans="3:21" ht="15">
      <c r="C107" s="208"/>
      <c r="D107" s="208"/>
      <c r="E107" s="208"/>
      <c r="F107" s="208"/>
      <c r="G107" s="208"/>
      <c r="H107" s="208"/>
      <c r="I107" s="208"/>
      <c r="J107" s="208"/>
      <c r="K107" s="208"/>
      <c r="L107" s="208"/>
      <c r="M107" s="208"/>
      <c r="N107" s="208"/>
      <c r="O107" s="208"/>
      <c r="P107" s="208"/>
      <c r="Q107" s="208"/>
      <c r="R107" s="208"/>
      <c r="S107" s="208"/>
      <c r="T107" s="208"/>
      <c r="U107" s="208"/>
    </row>
    <row r="108" spans="3:21" ht="15">
      <c r="C108" s="208"/>
      <c r="D108" s="208"/>
      <c r="E108" s="208"/>
      <c r="F108" s="208"/>
      <c r="G108" s="208"/>
      <c r="H108" s="208"/>
      <c r="I108" s="208"/>
      <c r="J108" s="208"/>
      <c r="K108" s="208"/>
      <c r="L108" s="208"/>
      <c r="M108" s="208"/>
      <c r="N108" s="208"/>
      <c r="O108" s="208"/>
      <c r="P108" s="208"/>
      <c r="Q108" s="208"/>
      <c r="R108" s="208"/>
      <c r="S108" s="208"/>
      <c r="T108" s="208"/>
      <c r="U108" s="208"/>
    </row>
    <row r="109" spans="3:21" ht="15">
      <c r="C109" s="208"/>
      <c r="D109" s="208"/>
      <c r="E109" s="208"/>
      <c r="F109" s="208"/>
      <c r="G109" s="208"/>
      <c r="H109" s="208"/>
      <c r="I109" s="208"/>
      <c r="J109" s="208"/>
      <c r="K109" s="208"/>
      <c r="L109" s="208"/>
      <c r="M109" s="208"/>
      <c r="N109" s="208"/>
      <c r="O109" s="208"/>
      <c r="P109" s="208"/>
      <c r="Q109" s="208"/>
      <c r="R109" s="208"/>
      <c r="S109" s="208"/>
      <c r="T109" s="208"/>
      <c r="U109" s="208"/>
    </row>
    <row r="110" spans="3:21" ht="15">
      <c r="C110" s="208"/>
      <c r="D110" s="208"/>
      <c r="E110" s="208"/>
      <c r="F110" s="208"/>
      <c r="G110" s="208"/>
      <c r="H110" s="208"/>
      <c r="I110" s="208"/>
      <c r="J110" s="208"/>
      <c r="K110" s="208"/>
      <c r="L110" s="208"/>
      <c r="M110" s="208"/>
      <c r="N110" s="208"/>
      <c r="O110" s="208"/>
      <c r="P110" s="208"/>
      <c r="Q110" s="208"/>
      <c r="R110" s="208"/>
      <c r="S110" s="208"/>
      <c r="T110" s="208"/>
      <c r="U110" s="208"/>
    </row>
    <row r="111" spans="3:21" ht="15">
      <c r="C111" s="208"/>
      <c r="D111" s="208"/>
      <c r="E111" s="208"/>
      <c r="F111" s="208"/>
      <c r="G111" s="208"/>
      <c r="H111" s="208"/>
      <c r="I111" s="208"/>
      <c r="J111" s="208"/>
      <c r="K111" s="208"/>
      <c r="L111" s="208"/>
      <c r="M111" s="208"/>
      <c r="N111" s="208"/>
      <c r="O111" s="208"/>
      <c r="P111" s="208"/>
      <c r="Q111" s="208"/>
      <c r="R111" s="208"/>
      <c r="S111" s="208"/>
      <c r="T111" s="208"/>
      <c r="U111" s="208"/>
    </row>
    <row r="112" spans="3:21" ht="15">
      <c r="C112" s="208"/>
      <c r="D112" s="208"/>
      <c r="E112" s="208"/>
      <c r="F112" s="208"/>
      <c r="G112" s="208"/>
      <c r="H112" s="208"/>
      <c r="I112" s="208"/>
      <c r="J112" s="208"/>
      <c r="K112" s="208"/>
      <c r="L112" s="208"/>
      <c r="M112" s="208"/>
      <c r="N112" s="208"/>
      <c r="O112" s="208"/>
      <c r="P112" s="208"/>
      <c r="Q112" s="208"/>
      <c r="R112" s="208"/>
      <c r="S112" s="208"/>
      <c r="T112" s="208"/>
      <c r="U112" s="208"/>
    </row>
    <row r="113" spans="3:21" ht="15">
      <c r="C113" s="208"/>
      <c r="D113" s="208"/>
      <c r="E113" s="208"/>
      <c r="F113" s="208"/>
      <c r="G113" s="208"/>
      <c r="H113" s="208"/>
      <c r="I113" s="208"/>
      <c r="J113" s="208"/>
      <c r="K113" s="208"/>
      <c r="L113" s="208"/>
      <c r="M113" s="208"/>
      <c r="N113" s="208"/>
      <c r="O113" s="208"/>
      <c r="P113" s="208"/>
      <c r="Q113" s="208"/>
      <c r="R113" s="208"/>
      <c r="S113" s="208"/>
      <c r="T113" s="208"/>
      <c r="U113" s="208"/>
    </row>
    <row r="114" spans="3:21" ht="15">
      <c r="C114" s="208"/>
      <c r="D114" s="208"/>
      <c r="E114" s="208"/>
      <c r="F114" s="208"/>
      <c r="G114" s="208"/>
      <c r="H114" s="208"/>
      <c r="I114" s="208"/>
      <c r="J114" s="208"/>
      <c r="K114" s="208"/>
      <c r="L114" s="208"/>
      <c r="M114" s="208"/>
      <c r="N114" s="208"/>
      <c r="O114" s="208"/>
      <c r="P114" s="208"/>
      <c r="Q114" s="208"/>
      <c r="R114" s="208"/>
      <c r="S114" s="208"/>
      <c r="T114" s="208"/>
      <c r="U114" s="208"/>
    </row>
    <row r="115" spans="3:21" ht="15">
      <c r="C115" s="208"/>
      <c r="D115" s="208"/>
      <c r="E115" s="208"/>
      <c r="F115" s="208"/>
      <c r="G115" s="208"/>
      <c r="H115" s="208"/>
      <c r="I115" s="208"/>
      <c r="J115" s="208"/>
      <c r="K115" s="208"/>
      <c r="L115" s="208"/>
      <c r="M115" s="208"/>
      <c r="N115" s="208"/>
      <c r="O115" s="208"/>
      <c r="P115" s="208"/>
      <c r="Q115" s="208"/>
      <c r="R115" s="208"/>
      <c r="S115" s="208"/>
      <c r="T115" s="208"/>
      <c r="U115" s="208"/>
    </row>
    <row r="116" spans="3:21" ht="15">
      <c r="C116" s="208"/>
      <c r="D116" s="208"/>
      <c r="E116" s="208"/>
      <c r="F116" s="208"/>
      <c r="G116" s="208"/>
      <c r="H116" s="208"/>
      <c r="I116" s="208"/>
      <c r="J116" s="208"/>
      <c r="K116" s="208"/>
      <c r="L116" s="208"/>
      <c r="M116" s="208"/>
      <c r="N116" s="208"/>
      <c r="O116" s="208"/>
      <c r="P116" s="208"/>
      <c r="Q116" s="208"/>
      <c r="R116" s="208"/>
      <c r="S116" s="208"/>
      <c r="T116" s="208"/>
      <c r="U116" s="208"/>
    </row>
    <row r="117" spans="3:21" ht="15">
      <c r="C117" s="208"/>
      <c r="D117" s="208"/>
      <c r="E117" s="208"/>
      <c r="F117" s="208"/>
      <c r="G117" s="208"/>
      <c r="H117" s="208"/>
      <c r="I117" s="208"/>
      <c r="J117" s="208"/>
      <c r="K117" s="208"/>
      <c r="L117" s="208"/>
      <c r="M117" s="208"/>
      <c r="N117" s="208"/>
      <c r="O117" s="208"/>
      <c r="P117" s="208"/>
      <c r="Q117" s="208"/>
      <c r="R117" s="208"/>
      <c r="S117" s="208"/>
      <c r="T117" s="208"/>
      <c r="U117" s="208"/>
    </row>
    <row r="118" spans="3:21" ht="15">
      <c r="C118" s="208"/>
      <c r="D118" s="208"/>
      <c r="E118" s="208"/>
      <c r="F118" s="208"/>
      <c r="G118" s="208"/>
      <c r="H118" s="208"/>
      <c r="I118" s="208"/>
      <c r="J118" s="208"/>
      <c r="K118" s="208"/>
      <c r="L118" s="208"/>
      <c r="M118" s="208"/>
      <c r="N118" s="208"/>
      <c r="O118" s="208"/>
      <c r="P118" s="208"/>
      <c r="Q118" s="208"/>
      <c r="R118" s="208"/>
      <c r="S118" s="208"/>
      <c r="T118" s="208"/>
      <c r="U118" s="208"/>
    </row>
    <row r="119" spans="3:21" ht="15">
      <c r="C119" s="208"/>
      <c r="D119" s="208"/>
      <c r="E119" s="208"/>
      <c r="F119" s="208"/>
      <c r="G119" s="208"/>
      <c r="H119" s="208"/>
      <c r="I119" s="208"/>
      <c r="J119" s="208"/>
      <c r="K119" s="208"/>
      <c r="L119" s="208"/>
      <c r="M119" s="208"/>
      <c r="N119" s="208"/>
      <c r="O119" s="208"/>
      <c r="P119" s="208"/>
      <c r="Q119" s="208"/>
      <c r="R119" s="208"/>
      <c r="S119" s="208"/>
      <c r="T119" s="208"/>
      <c r="U119" s="208"/>
    </row>
    <row r="120" spans="3:21" ht="15">
      <c r="C120" s="208"/>
      <c r="D120" s="208"/>
      <c r="E120" s="208"/>
      <c r="F120" s="208"/>
      <c r="G120" s="208"/>
      <c r="H120" s="208"/>
      <c r="I120" s="208"/>
      <c r="J120" s="208"/>
      <c r="K120" s="208"/>
      <c r="L120" s="208"/>
      <c r="M120" s="208"/>
      <c r="N120" s="208"/>
      <c r="O120" s="208"/>
      <c r="P120" s="208"/>
      <c r="Q120" s="208"/>
      <c r="R120" s="208"/>
      <c r="S120" s="208"/>
      <c r="T120" s="208"/>
      <c r="U120" s="208"/>
    </row>
    <row r="121" spans="3:21" ht="15">
      <c r="C121" s="208"/>
      <c r="D121" s="208"/>
      <c r="E121" s="208"/>
      <c r="F121" s="208"/>
      <c r="G121" s="208"/>
      <c r="H121" s="208"/>
      <c r="I121" s="208"/>
      <c r="J121" s="208"/>
      <c r="K121" s="208"/>
      <c r="L121" s="208"/>
      <c r="M121" s="208"/>
      <c r="N121" s="208"/>
      <c r="O121" s="208"/>
      <c r="P121" s="208"/>
      <c r="Q121" s="208"/>
      <c r="R121" s="208"/>
      <c r="S121" s="208"/>
      <c r="T121" s="208"/>
      <c r="U121" s="208"/>
    </row>
    <row r="122" spans="3:21" ht="15">
      <c r="C122" s="208"/>
      <c r="D122" s="208"/>
      <c r="E122" s="208"/>
      <c r="F122" s="208"/>
      <c r="G122" s="208"/>
      <c r="H122" s="208"/>
      <c r="I122" s="208"/>
      <c r="J122" s="208"/>
      <c r="K122" s="208"/>
      <c r="L122" s="208"/>
      <c r="M122" s="208"/>
      <c r="N122" s="208"/>
      <c r="O122" s="208"/>
      <c r="P122" s="208"/>
      <c r="Q122" s="208"/>
      <c r="R122" s="208"/>
      <c r="S122" s="208"/>
      <c r="T122" s="208"/>
      <c r="U122" s="208"/>
    </row>
    <row r="123" spans="3:21" ht="15">
      <c r="C123" s="208"/>
      <c r="D123" s="208"/>
      <c r="E123" s="208"/>
      <c r="F123" s="208"/>
      <c r="G123" s="208"/>
      <c r="H123" s="208"/>
      <c r="I123" s="208"/>
      <c r="J123" s="208"/>
      <c r="K123" s="208"/>
      <c r="L123" s="208"/>
      <c r="M123" s="208"/>
      <c r="N123" s="208"/>
      <c r="O123" s="208"/>
      <c r="P123" s="208"/>
      <c r="Q123" s="208"/>
      <c r="R123" s="208"/>
      <c r="S123" s="208"/>
      <c r="T123" s="208"/>
      <c r="U123" s="208"/>
    </row>
    <row r="124" spans="3:21" ht="15">
      <c r="C124" s="208"/>
      <c r="D124" s="208"/>
      <c r="E124" s="208"/>
      <c r="F124" s="208"/>
      <c r="G124" s="208"/>
      <c r="H124" s="208"/>
      <c r="I124" s="208"/>
      <c r="J124" s="208"/>
      <c r="K124" s="208"/>
      <c r="L124" s="208"/>
      <c r="M124" s="208"/>
      <c r="N124" s="208"/>
      <c r="O124" s="208"/>
      <c r="P124" s="208"/>
      <c r="Q124" s="208"/>
      <c r="R124" s="208"/>
      <c r="S124" s="208"/>
      <c r="T124" s="208"/>
      <c r="U124" s="208"/>
    </row>
    <row r="125" spans="3:21" ht="15">
      <c r="C125" s="208"/>
      <c r="D125" s="208"/>
      <c r="E125" s="208"/>
      <c r="F125" s="208"/>
      <c r="G125" s="208"/>
      <c r="H125" s="208"/>
      <c r="I125" s="208"/>
      <c r="J125" s="208"/>
      <c r="K125" s="208"/>
      <c r="L125" s="208"/>
      <c r="M125" s="208"/>
      <c r="N125" s="208"/>
      <c r="O125" s="208"/>
      <c r="P125" s="208"/>
      <c r="Q125" s="208"/>
      <c r="R125" s="208"/>
      <c r="S125" s="208"/>
      <c r="T125" s="208"/>
      <c r="U125" s="208"/>
    </row>
    <row r="126" spans="3:21" ht="15">
      <c r="C126" s="208"/>
      <c r="D126" s="208"/>
      <c r="E126" s="208"/>
      <c r="F126" s="208"/>
      <c r="G126" s="208"/>
      <c r="H126" s="208"/>
      <c r="I126" s="208"/>
      <c r="J126" s="208"/>
      <c r="K126" s="208"/>
      <c r="L126" s="208"/>
      <c r="M126" s="208"/>
      <c r="N126" s="208"/>
      <c r="O126" s="208"/>
      <c r="P126" s="208"/>
      <c r="Q126" s="208"/>
      <c r="R126" s="208"/>
      <c r="S126" s="208"/>
      <c r="T126" s="208"/>
      <c r="U126" s="208"/>
    </row>
    <row r="127" spans="3:21" ht="15">
      <c r="C127" s="208"/>
      <c r="D127" s="208"/>
      <c r="E127" s="208"/>
      <c r="F127" s="208"/>
      <c r="G127" s="208"/>
      <c r="H127" s="208"/>
      <c r="I127" s="208"/>
      <c r="J127" s="208"/>
      <c r="K127" s="208"/>
      <c r="L127" s="208"/>
      <c r="M127" s="208"/>
      <c r="N127" s="208"/>
      <c r="O127" s="208"/>
      <c r="P127" s="208"/>
      <c r="Q127" s="208"/>
      <c r="R127" s="208"/>
      <c r="S127" s="208"/>
      <c r="T127" s="208"/>
      <c r="U127" s="208"/>
    </row>
    <row r="128" spans="3:21" ht="15">
      <c r="C128" s="208"/>
      <c r="D128" s="208"/>
      <c r="E128" s="208"/>
      <c r="F128" s="208"/>
      <c r="G128" s="208"/>
      <c r="H128" s="208"/>
      <c r="I128" s="208"/>
      <c r="J128" s="208"/>
      <c r="K128" s="208"/>
      <c r="L128" s="208"/>
      <c r="M128" s="208"/>
      <c r="N128" s="208"/>
      <c r="O128" s="208"/>
      <c r="P128" s="208"/>
      <c r="Q128" s="208"/>
      <c r="R128" s="208"/>
      <c r="S128" s="208"/>
      <c r="T128" s="208"/>
      <c r="U128" s="208"/>
    </row>
    <row r="129" spans="3:21" ht="15">
      <c r="C129" s="208"/>
      <c r="D129" s="208"/>
      <c r="E129" s="208"/>
      <c r="F129" s="208"/>
      <c r="G129" s="208"/>
      <c r="H129" s="208"/>
      <c r="I129" s="208"/>
      <c r="J129" s="208"/>
      <c r="K129" s="208"/>
      <c r="L129" s="208"/>
      <c r="M129" s="208"/>
      <c r="N129" s="208"/>
      <c r="O129" s="208"/>
      <c r="P129" s="208"/>
      <c r="Q129" s="208"/>
      <c r="R129" s="208"/>
      <c r="S129" s="208"/>
      <c r="T129" s="208"/>
      <c r="U129" s="208"/>
    </row>
    <row r="130" spans="3:21" ht="15">
      <c r="C130" s="208"/>
      <c r="D130" s="208"/>
      <c r="E130" s="208"/>
      <c r="F130" s="208"/>
      <c r="G130" s="208"/>
      <c r="H130" s="208"/>
      <c r="I130" s="208"/>
      <c r="J130" s="208"/>
      <c r="K130" s="208"/>
      <c r="L130" s="208"/>
      <c r="M130" s="208"/>
      <c r="N130" s="208"/>
      <c r="O130" s="208"/>
      <c r="P130" s="208"/>
      <c r="Q130" s="208"/>
      <c r="R130" s="208"/>
      <c r="S130" s="208"/>
      <c r="T130" s="208"/>
      <c r="U130" s="208"/>
    </row>
    <row r="131" spans="3:21" ht="15">
      <c r="C131" s="208"/>
      <c r="D131" s="208"/>
      <c r="E131" s="208"/>
      <c r="F131" s="208"/>
      <c r="G131" s="208"/>
      <c r="H131" s="208"/>
      <c r="I131" s="208"/>
      <c r="J131" s="208"/>
      <c r="K131" s="208"/>
      <c r="L131" s="208"/>
      <c r="M131" s="208"/>
      <c r="N131" s="208"/>
      <c r="O131" s="208"/>
      <c r="P131" s="208"/>
      <c r="Q131" s="208"/>
      <c r="R131" s="208"/>
      <c r="S131" s="208"/>
      <c r="T131" s="208"/>
      <c r="U131" s="208"/>
    </row>
    <row r="132" spans="3:21" ht="15">
      <c r="C132" s="208"/>
      <c r="D132" s="208"/>
      <c r="E132" s="208"/>
      <c r="F132" s="208"/>
      <c r="G132" s="208"/>
      <c r="H132" s="208"/>
      <c r="I132" s="208"/>
      <c r="J132" s="208"/>
      <c r="K132" s="208"/>
      <c r="L132" s="208"/>
      <c r="M132" s="208"/>
      <c r="N132" s="208"/>
      <c r="O132" s="208"/>
      <c r="P132" s="208"/>
      <c r="Q132" s="208"/>
      <c r="R132" s="208"/>
      <c r="S132" s="208"/>
      <c r="T132" s="208"/>
      <c r="U132" s="208"/>
    </row>
    <row r="133" spans="3:21" ht="15">
      <c r="C133" s="208"/>
      <c r="D133" s="208"/>
      <c r="E133" s="208"/>
      <c r="F133" s="208"/>
      <c r="G133" s="208"/>
      <c r="H133" s="208"/>
      <c r="I133" s="208"/>
      <c r="J133" s="208"/>
      <c r="K133" s="208"/>
      <c r="L133" s="208"/>
      <c r="M133" s="208"/>
      <c r="N133" s="208"/>
      <c r="O133" s="208"/>
      <c r="P133" s="208"/>
      <c r="Q133" s="208"/>
      <c r="R133" s="208"/>
      <c r="S133" s="208"/>
      <c r="T133" s="208"/>
      <c r="U133" s="208"/>
    </row>
    <row r="134" spans="3:21" ht="15">
      <c r="C134" s="208"/>
      <c r="D134" s="208"/>
      <c r="E134" s="208"/>
      <c r="F134" s="208"/>
      <c r="G134" s="208"/>
      <c r="H134" s="208"/>
      <c r="I134" s="208"/>
      <c r="J134" s="208"/>
      <c r="K134" s="208"/>
      <c r="L134" s="208"/>
      <c r="M134" s="208"/>
      <c r="N134" s="208"/>
      <c r="O134" s="208"/>
      <c r="P134" s="208"/>
      <c r="Q134" s="208"/>
      <c r="R134" s="208"/>
      <c r="S134" s="208"/>
      <c r="T134" s="208"/>
      <c r="U134" s="208"/>
    </row>
    <row r="135" spans="3:21" ht="15">
      <c r="C135" s="208"/>
      <c r="D135" s="208"/>
      <c r="E135" s="208"/>
      <c r="F135" s="208"/>
      <c r="G135" s="208"/>
      <c r="H135" s="208"/>
      <c r="I135" s="208"/>
      <c r="J135" s="208"/>
      <c r="K135" s="208"/>
      <c r="L135" s="208"/>
      <c r="M135" s="208"/>
      <c r="N135" s="208"/>
      <c r="O135" s="208"/>
      <c r="P135" s="208"/>
      <c r="Q135" s="208"/>
      <c r="R135" s="208"/>
      <c r="S135" s="208"/>
      <c r="T135" s="208"/>
      <c r="U135" s="208"/>
    </row>
    <row r="136" spans="3:21" ht="15">
      <c r="C136" s="208"/>
      <c r="D136" s="208"/>
      <c r="E136" s="208"/>
      <c r="F136" s="208"/>
      <c r="G136" s="208"/>
      <c r="H136" s="208"/>
      <c r="I136" s="208"/>
      <c r="J136" s="208"/>
      <c r="K136" s="208"/>
      <c r="L136" s="208"/>
      <c r="M136" s="208"/>
      <c r="N136" s="208"/>
      <c r="O136" s="208"/>
      <c r="P136" s="208"/>
      <c r="Q136" s="208"/>
      <c r="R136" s="208"/>
      <c r="S136" s="208"/>
      <c r="T136" s="208"/>
      <c r="U136" s="208"/>
    </row>
    <row r="137" spans="3:21" ht="15">
      <c r="C137" s="208"/>
      <c r="D137" s="208"/>
      <c r="E137" s="208"/>
      <c r="F137" s="208"/>
      <c r="G137" s="208"/>
      <c r="H137" s="208"/>
      <c r="I137" s="208"/>
      <c r="J137" s="208"/>
      <c r="K137" s="208"/>
      <c r="L137" s="208"/>
      <c r="M137" s="208"/>
      <c r="N137" s="208"/>
      <c r="O137" s="208"/>
      <c r="P137" s="208"/>
      <c r="Q137" s="208"/>
      <c r="R137" s="208"/>
      <c r="S137" s="208"/>
      <c r="T137" s="208"/>
      <c r="U137" s="208"/>
    </row>
    <row r="138" spans="3:21" ht="15">
      <c r="C138" s="208"/>
      <c r="D138" s="208"/>
      <c r="E138" s="208"/>
      <c r="F138" s="208"/>
      <c r="G138" s="208"/>
      <c r="H138" s="208"/>
      <c r="I138" s="208"/>
      <c r="J138" s="208"/>
      <c r="K138" s="208"/>
      <c r="L138" s="208"/>
      <c r="M138" s="208"/>
      <c r="N138" s="208"/>
      <c r="O138" s="208"/>
      <c r="P138" s="208"/>
      <c r="Q138" s="208"/>
      <c r="R138" s="208"/>
      <c r="S138" s="208"/>
      <c r="T138" s="208"/>
      <c r="U138" s="208"/>
    </row>
    <row r="139" spans="3:21" ht="15">
      <c r="C139" s="208"/>
      <c r="D139" s="208"/>
      <c r="E139" s="208"/>
      <c r="F139" s="208"/>
      <c r="G139" s="208"/>
      <c r="H139" s="208"/>
      <c r="I139" s="208"/>
      <c r="J139" s="208"/>
      <c r="K139" s="208"/>
      <c r="L139" s="208"/>
      <c r="M139" s="208"/>
      <c r="N139" s="208"/>
      <c r="O139" s="208"/>
      <c r="P139" s="208"/>
      <c r="Q139" s="208"/>
      <c r="R139" s="208"/>
      <c r="S139" s="208"/>
      <c r="T139" s="208"/>
      <c r="U139" s="208"/>
    </row>
    <row r="140" spans="3:21" ht="15">
      <c r="C140" s="208"/>
      <c r="D140" s="208"/>
      <c r="E140" s="208"/>
      <c r="F140" s="208"/>
      <c r="G140" s="208"/>
      <c r="H140" s="208"/>
      <c r="I140" s="208"/>
      <c r="J140" s="208"/>
      <c r="K140" s="208"/>
      <c r="L140" s="208"/>
      <c r="M140" s="208"/>
      <c r="N140" s="208"/>
      <c r="O140" s="208"/>
      <c r="P140" s="208"/>
      <c r="Q140" s="208"/>
      <c r="R140" s="208"/>
      <c r="S140" s="208"/>
      <c r="T140" s="208"/>
      <c r="U140" s="208"/>
    </row>
    <row r="141" spans="3:21" ht="15">
      <c r="C141" s="208"/>
      <c r="D141" s="208"/>
      <c r="E141" s="208"/>
      <c r="F141" s="208"/>
      <c r="G141" s="208"/>
      <c r="H141" s="208"/>
      <c r="I141" s="208"/>
      <c r="J141" s="208"/>
      <c r="K141" s="208"/>
      <c r="L141" s="208"/>
      <c r="M141" s="208"/>
      <c r="N141" s="208"/>
      <c r="O141" s="208"/>
      <c r="P141" s="208"/>
      <c r="Q141" s="208"/>
      <c r="R141" s="208"/>
      <c r="S141" s="208"/>
      <c r="T141" s="208"/>
      <c r="U141" s="208"/>
    </row>
    <row r="142" spans="3:21" ht="15">
      <c r="C142" s="208"/>
      <c r="D142" s="208"/>
      <c r="E142" s="208"/>
      <c r="F142" s="208"/>
      <c r="G142" s="208"/>
      <c r="H142" s="208"/>
      <c r="I142" s="208"/>
      <c r="J142" s="208"/>
      <c r="K142" s="208"/>
      <c r="L142" s="208"/>
      <c r="M142" s="208"/>
      <c r="N142" s="208"/>
      <c r="O142" s="208"/>
      <c r="P142" s="208"/>
      <c r="Q142" s="208"/>
      <c r="R142" s="208"/>
      <c r="S142" s="208"/>
      <c r="T142" s="208"/>
      <c r="U142" s="208"/>
    </row>
    <row r="143" spans="3:21" ht="15">
      <c r="C143" s="208"/>
      <c r="D143" s="208"/>
      <c r="E143" s="208"/>
      <c r="F143" s="208"/>
      <c r="G143" s="208"/>
      <c r="H143" s="208"/>
      <c r="I143" s="208"/>
      <c r="J143" s="208"/>
      <c r="K143" s="208"/>
      <c r="L143" s="208"/>
      <c r="M143" s="208"/>
      <c r="N143" s="208"/>
      <c r="O143" s="208"/>
      <c r="P143" s="208"/>
      <c r="Q143" s="208"/>
      <c r="R143" s="208"/>
      <c r="S143" s="208"/>
      <c r="T143" s="208"/>
      <c r="U143" s="208"/>
    </row>
    <row r="144" spans="3:21" ht="15">
      <c r="C144" s="208"/>
      <c r="D144" s="208"/>
      <c r="E144" s="208"/>
      <c r="F144" s="208"/>
      <c r="G144" s="208"/>
      <c r="H144" s="208"/>
      <c r="I144" s="208"/>
      <c r="J144" s="208"/>
      <c r="K144" s="208"/>
      <c r="L144" s="208"/>
      <c r="M144" s="208"/>
      <c r="N144" s="208"/>
      <c r="O144" s="208"/>
      <c r="P144" s="208"/>
      <c r="Q144" s="208"/>
      <c r="R144" s="208"/>
      <c r="S144" s="208"/>
      <c r="T144" s="208"/>
      <c r="U144" s="208"/>
    </row>
    <row r="145" spans="3:21" ht="15">
      <c r="C145" s="208"/>
      <c r="D145" s="208"/>
      <c r="E145" s="208"/>
      <c r="F145" s="208"/>
      <c r="G145" s="208"/>
      <c r="H145" s="208"/>
      <c r="I145" s="208"/>
      <c r="J145" s="208"/>
      <c r="K145" s="208"/>
      <c r="L145" s="208"/>
      <c r="M145" s="208"/>
      <c r="N145" s="208"/>
      <c r="O145" s="208"/>
      <c r="P145" s="208"/>
      <c r="Q145" s="208"/>
      <c r="R145" s="208"/>
      <c r="S145" s="208"/>
      <c r="T145" s="208"/>
      <c r="U145" s="208"/>
    </row>
  </sheetData>
  <sheetProtection/>
  <mergeCells count="26">
    <mergeCell ref="U5:U8"/>
    <mergeCell ref="R6:R8"/>
    <mergeCell ref="S6:S8"/>
    <mergeCell ref="T6:T8"/>
    <mergeCell ref="Q5:T5"/>
    <mergeCell ref="D6:D8"/>
    <mergeCell ref="E7:E8"/>
    <mergeCell ref="F7:G7"/>
    <mergeCell ref="H7:H8"/>
    <mergeCell ref="D5:P5"/>
    <mergeCell ref="L7:M7"/>
    <mergeCell ref="K6:M6"/>
    <mergeCell ref="E6:J6"/>
    <mergeCell ref="N6:N8"/>
    <mergeCell ref="O6:O8"/>
    <mergeCell ref="P6:P8"/>
    <mergeCell ref="A2:U2"/>
    <mergeCell ref="A3:U3"/>
    <mergeCell ref="A5:A8"/>
    <mergeCell ref="B5:B8"/>
    <mergeCell ref="C5:C8"/>
    <mergeCell ref="Q4:U4"/>
    <mergeCell ref="Q6:Q8"/>
    <mergeCell ref="I7:I8"/>
    <mergeCell ref="J7:J8"/>
    <mergeCell ref="K7:K8"/>
  </mergeCells>
  <printOptions/>
  <pageMargins left="0.24" right="0.17" top="0.32" bottom="0.29" header="0.3" footer="0.3"/>
  <pageSetup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tabColor rgb="FFFF0000"/>
  </sheetPr>
  <dimension ref="A1:S201"/>
  <sheetViews>
    <sheetView zoomScale="84" zoomScaleNormal="84" zoomScalePageLayoutView="0" workbookViewId="0" topLeftCell="A10">
      <selection activeCell="I10" sqref="I10"/>
    </sheetView>
  </sheetViews>
  <sheetFormatPr defaultColWidth="9.00390625" defaultRowHeight="14.25"/>
  <cols>
    <col min="1" max="1" width="6.25390625" style="115" customWidth="1"/>
    <col min="2" max="2" width="46.75390625" style="116" customWidth="1"/>
    <col min="3" max="3" width="11.00390625" style="117" customWidth="1"/>
    <col min="4" max="4" width="8.625" style="117" customWidth="1"/>
    <col min="5" max="5" width="8.375" style="117" customWidth="1"/>
    <col min="6" max="7" width="11.00390625" style="117" customWidth="1"/>
    <col min="8" max="8" width="8.625" style="117" customWidth="1"/>
    <col min="9" max="11" width="11.00390625" style="117" customWidth="1"/>
    <col min="12" max="12" width="8.625" style="117" customWidth="1"/>
    <col min="13" max="13" width="9.125" style="117" customWidth="1"/>
    <col min="14" max="15" width="8.75390625" style="117" customWidth="1"/>
    <col min="16" max="16" width="9.625" style="390" customWidth="1"/>
    <col min="17" max="17" width="7.25390625" style="390" bestFit="1" customWidth="1"/>
    <col min="18" max="18" width="9.375" style="390" customWidth="1"/>
    <col min="19" max="19" width="10.25390625" style="390" customWidth="1"/>
    <col min="20" max="16384" width="9.00390625" style="116" customWidth="1"/>
  </cols>
  <sheetData>
    <row r="1" spans="1:19" s="327" customFormat="1" ht="22.5" customHeight="1">
      <c r="A1" s="509" t="s">
        <v>295</v>
      </c>
      <c r="B1" s="509"/>
      <c r="C1" s="509"/>
      <c r="D1" s="509"/>
      <c r="E1" s="509"/>
      <c r="F1" s="509"/>
      <c r="G1" s="509"/>
      <c r="H1" s="509"/>
      <c r="I1" s="509"/>
      <c r="J1" s="509"/>
      <c r="K1" s="509"/>
      <c r="L1" s="509"/>
      <c r="M1" s="509"/>
      <c r="N1" s="509"/>
      <c r="O1" s="509"/>
      <c r="P1" s="509"/>
      <c r="Q1" s="509"/>
      <c r="R1" s="509"/>
      <c r="S1" s="509"/>
    </row>
    <row r="2" spans="1:19" s="328" customFormat="1" ht="23.25" customHeight="1">
      <c r="A2" s="510" t="s">
        <v>387</v>
      </c>
      <c r="B2" s="510"/>
      <c r="C2" s="510"/>
      <c r="D2" s="510"/>
      <c r="E2" s="510"/>
      <c r="F2" s="510"/>
      <c r="G2" s="510"/>
      <c r="H2" s="510"/>
      <c r="I2" s="510"/>
      <c r="J2" s="510"/>
      <c r="K2" s="510"/>
      <c r="L2" s="510"/>
      <c r="M2" s="510"/>
      <c r="N2" s="510"/>
      <c r="O2" s="510"/>
      <c r="P2" s="510"/>
      <c r="Q2" s="510"/>
      <c r="R2" s="510"/>
      <c r="S2" s="510"/>
    </row>
    <row r="3" spans="1:19" s="328" customFormat="1" ht="23.25" customHeight="1">
      <c r="A3" s="511" t="str">
        <f>'Biểu 35 huyện'!A3:M3</f>
        <v>(Kèm theo Tờ trình số         /TTr-HĐND  ngày        tháng 12 năm 2022 của UBND huyện Hạ Lang)</v>
      </c>
      <c r="B3" s="511"/>
      <c r="C3" s="511"/>
      <c r="D3" s="511"/>
      <c r="E3" s="511"/>
      <c r="F3" s="511"/>
      <c r="G3" s="511"/>
      <c r="H3" s="511"/>
      <c r="I3" s="511"/>
      <c r="J3" s="511"/>
      <c r="K3" s="511"/>
      <c r="L3" s="511"/>
      <c r="M3" s="511"/>
      <c r="N3" s="511"/>
      <c r="O3" s="511"/>
      <c r="P3" s="511"/>
      <c r="Q3" s="511"/>
      <c r="R3" s="511"/>
      <c r="S3" s="511"/>
    </row>
    <row r="4" spans="1:19" s="328" customFormat="1" ht="22.5" customHeight="1">
      <c r="A4" s="515" t="s">
        <v>9</v>
      </c>
      <c r="B4" s="515"/>
      <c r="C4" s="515"/>
      <c r="D4" s="515"/>
      <c r="E4" s="515"/>
      <c r="F4" s="515"/>
      <c r="G4" s="515"/>
      <c r="H4" s="515"/>
      <c r="I4" s="515"/>
      <c r="J4" s="515"/>
      <c r="K4" s="515"/>
      <c r="L4" s="515"/>
      <c r="M4" s="515"/>
      <c r="N4" s="515"/>
      <c r="O4" s="515"/>
      <c r="P4" s="515"/>
      <c r="Q4" s="515"/>
      <c r="R4" s="515"/>
      <c r="S4" s="515"/>
    </row>
    <row r="5" spans="1:19" s="331" customFormat="1" ht="23.25" customHeight="1">
      <c r="A5" s="512" t="s">
        <v>197</v>
      </c>
      <c r="B5" s="512" t="s">
        <v>198</v>
      </c>
      <c r="C5" s="513" t="s">
        <v>199</v>
      </c>
      <c r="D5" s="513"/>
      <c r="E5" s="513"/>
      <c r="F5" s="513"/>
      <c r="G5" s="513"/>
      <c r="H5" s="514" t="s">
        <v>389</v>
      </c>
      <c r="I5" s="514"/>
      <c r="J5" s="514"/>
      <c r="K5" s="514"/>
      <c r="L5" s="514" t="s">
        <v>388</v>
      </c>
      <c r="M5" s="514"/>
      <c r="N5" s="514"/>
      <c r="O5" s="514"/>
      <c r="P5" s="513" t="s">
        <v>405</v>
      </c>
      <c r="Q5" s="513"/>
      <c r="R5" s="513"/>
      <c r="S5" s="513"/>
    </row>
    <row r="6" spans="1:19" s="331" customFormat="1" ht="23.25" customHeight="1">
      <c r="A6" s="512"/>
      <c r="B6" s="512"/>
      <c r="C6" s="513" t="s">
        <v>306</v>
      </c>
      <c r="D6" s="514" t="s">
        <v>200</v>
      </c>
      <c r="E6" s="514"/>
      <c r="F6" s="514"/>
      <c r="G6" s="514"/>
      <c r="H6" s="514"/>
      <c r="I6" s="514"/>
      <c r="J6" s="514"/>
      <c r="K6" s="514"/>
      <c r="L6" s="514"/>
      <c r="M6" s="514"/>
      <c r="N6" s="514"/>
      <c r="O6" s="514"/>
      <c r="P6" s="513"/>
      <c r="Q6" s="513"/>
      <c r="R6" s="513"/>
      <c r="S6" s="513"/>
    </row>
    <row r="7" spans="1:19" s="331" customFormat="1" ht="23.25" customHeight="1">
      <c r="A7" s="512"/>
      <c r="B7" s="512"/>
      <c r="C7" s="513"/>
      <c r="D7" s="508" t="s">
        <v>201</v>
      </c>
      <c r="E7" s="508" t="s">
        <v>202</v>
      </c>
      <c r="F7" s="508"/>
      <c r="G7" s="508"/>
      <c r="H7" s="508" t="s">
        <v>203</v>
      </c>
      <c r="I7" s="508" t="s">
        <v>202</v>
      </c>
      <c r="J7" s="508"/>
      <c r="K7" s="508"/>
      <c r="L7" s="508" t="s">
        <v>203</v>
      </c>
      <c r="M7" s="508" t="s">
        <v>202</v>
      </c>
      <c r="N7" s="508"/>
      <c r="O7" s="508"/>
      <c r="P7" s="508" t="s">
        <v>203</v>
      </c>
      <c r="Q7" s="508" t="s">
        <v>202</v>
      </c>
      <c r="R7" s="508"/>
      <c r="S7" s="508"/>
    </row>
    <row r="8" spans="1:19" s="331" customFormat="1" ht="63.75" customHeight="1">
      <c r="A8" s="512"/>
      <c r="B8" s="512"/>
      <c r="C8" s="513"/>
      <c r="D8" s="508"/>
      <c r="E8" s="332" t="s">
        <v>204</v>
      </c>
      <c r="F8" s="330" t="s">
        <v>205</v>
      </c>
      <c r="G8" s="330" t="s">
        <v>140</v>
      </c>
      <c r="H8" s="508"/>
      <c r="I8" s="332" t="s">
        <v>204</v>
      </c>
      <c r="J8" s="330" t="s">
        <v>205</v>
      </c>
      <c r="K8" s="330" t="s">
        <v>140</v>
      </c>
      <c r="L8" s="508"/>
      <c r="M8" s="332" t="s">
        <v>204</v>
      </c>
      <c r="N8" s="330" t="s">
        <v>205</v>
      </c>
      <c r="O8" s="330" t="s">
        <v>140</v>
      </c>
      <c r="P8" s="508"/>
      <c r="Q8" s="332" t="s">
        <v>204</v>
      </c>
      <c r="R8" s="330" t="s">
        <v>205</v>
      </c>
      <c r="S8" s="330" t="s">
        <v>140</v>
      </c>
    </row>
    <row r="9" spans="1:19" s="334" customFormat="1" ht="21" customHeight="1">
      <c r="A9" s="333" t="s">
        <v>6</v>
      </c>
      <c r="B9" s="333" t="s">
        <v>7</v>
      </c>
      <c r="C9" s="333">
        <v>1</v>
      </c>
      <c r="D9" s="333">
        <v>2</v>
      </c>
      <c r="E9" s="333">
        <v>3</v>
      </c>
      <c r="F9" s="333">
        <v>4</v>
      </c>
      <c r="G9" s="333">
        <v>5</v>
      </c>
      <c r="H9" s="333">
        <v>6</v>
      </c>
      <c r="I9" s="333">
        <v>7</v>
      </c>
      <c r="J9" s="333">
        <v>8</v>
      </c>
      <c r="K9" s="333">
        <v>9</v>
      </c>
      <c r="L9" s="333">
        <v>10</v>
      </c>
      <c r="M9" s="333">
        <v>11</v>
      </c>
      <c r="N9" s="333">
        <v>12</v>
      </c>
      <c r="O9" s="333">
        <v>13</v>
      </c>
      <c r="P9" s="333">
        <v>14</v>
      </c>
      <c r="Q9" s="333">
        <v>15</v>
      </c>
      <c r="R9" s="333">
        <v>16</v>
      </c>
      <c r="S9" s="333">
        <v>17</v>
      </c>
    </row>
    <row r="10" spans="1:19" s="331" customFormat="1" ht="36.75" customHeight="1">
      <c r="A10" s="329"/>
      <c r="B10" s="336" t="s">
        <v>206</v>
      </c>
      <c r="C10" s="335"/>
      <c r="D10" s="335"/>
      <c r="E10" s="335"/>
      <c r="F10" s="335"/>
      <c r="G10" s="335"/>
      <c r="H10" s="335"/>
      <c r="I10" s="335"/>
      <c r="J10" s="335"/>
      <c r="K10" s="335"/>
      <c r="L10" s="335"/>
      <c r="M10" s="335"/>
      <c r="N10" s="335"/>
      <c r="O10" s="335"/>
      <c r="P10" s="337">
        <f>P11+P48</f>
        <v>109624</v>
      </c>
      <c r="Q10" s="337">
        <f>Q11+Q48</f>
        <v>0</v>
      </c>
      <c r="R10" s="337">
        <f>R11+R48</f>
        <v>93511</v>
      </c>
      <c r="S10" s="337">
        <f>S11+S48</f>
        <v>16113</v>
      </c>
    </row>
    <row r="11" spans="1:19" s="331" customFormat="1" ht="33" customHeight="1">
      <c r="A11" s="338" t="s">
        <v>6</v>
      </c>
      <c r="B11" s="339" t="s">
        <v>355</v>
      </c>
      <c r="C11" s="340"/>
      <c r="D11" s="340"/>
      <c r="E11" s="340"/>
      <c r="F11" s="340"/>
      <c r="G11" s="340"/>
      <c r="H11" s="340"/>
      <c r="I11" s="340"/>
      <c r="J11" s="340"/>
      <c r="K11" s="340"/>
      <c r="L11" s="340"/>
      <c r="M11" s="340"/>
      <c r="N11" s="340"/>
      <c r="O11" s="340"/>
      <c r="P11" s="341">
        <f>P12+P14</f>
        <v>14457</v>
      </c>
      <c r="Q11" s="340"/>
      <c r="R11" s="340"/>
      <c r="S11" s="341">
        <f>S12+S14</f>
        <v>14457</v>
      </c>
    </row>
    <row r="12" spans="1:19" s="346" customFormat="1" ht="33" customHeight="1">
      <c r="A12" s="342" t="s">
        <v>15</v>
      </c>
      <c r="B12" s="343" t="s">
        <v>356</v>
      </c>
      <c r="C12" s="344"/>
      <c r="D12" s="345"/>
      <c r="E12" s="345"/>
      <c r="F12" s="345"/>
      <c r="G12" s="345"/>
      <c r="H12" s="345"/>
      <c r="I12" s="345"/>
      <c r="J12" s="345"/>
      <c r="K12" s="345"/>
      <c r="L12" s="345"/>
      <c r="M12" s="345"/>
      <c r="N12" s="345"/>
      <c r="O12" s="345"/>
      <c r="P12" s="341">
        <f>P13</f>
        <v>2500</v>
      </c>
      <c r="Q12" s="345"/>
      <c r="R12" s="345"/>
      <c r="S12" s="341">
        <f>S13</f>
        <v>2500</v>
      </c>
    </row>
    <row r="13" spans="1:19" s="356" customFormat="1" ht="50.25" customHeight="1">
      <c r="A13" s="350">
        <v>1</v>
      </c>
      <c r="B13" s="351" t="s">
        <v>357</v>
      </c>
      <c r="C13" s="352"/>
      <c r="D13" s="353"/>
      <c r="E13" s="353"/>
      <c r="F13" s="353"/>
      <c r="G13" s="353"/>
      <c r="H13" s="353"/>
      <c r="I13" s="353"/>
      <c r="J13" s="353"/>
      <c r="K13" s="353"/>
      <c r="L13" s="353"/>
      <c r="M13" s="353"/>
      <c r="N13" s="353"/>
      <c r="O13" s="353"/>
      <c r="P13" s="434">
        <f>SUM(Q13:S13)</f>
        <v>2500</v>
      </c>
      <c r="Q13" s="353"/>
      <c r="R13" s="353"/>
      <c r="S13" s="349">
        <v>2500</v>
      </c>
    </row>
    <row r="14" spans="1:19" s="346" customFormat="1" ht="36.75" customHeight="1">
      <c r="A14" s="347" t="s">
        <v>11</v>
      </c>
      <c r="B14" s="348" t="s">
        <v>358</v>
      </c>
      <c r="C14" s="344"/>
      <c r="D14" s="345"/>
      <c r="E14" s="345"/>
      <c r="F14" s="345"/>
      <c r="G14" s="345"/>
      <c r="H14" s="345"/>
      <c r="I14" s="345"/>
      <c r="J14" s="345"/>
      <c r="K14" s="345"/>
      <c r="L14" s="345"/>
      <c r="M14" s="345"/>
      <c r="N14" s="345"/>
      <c r="O14" s="345"/>
      <c r="P14" s="341">
        <f>P15+P18+P23+P25+P47</f>
        <v>11957</v>
      </c>
      <c r="Q14" s="345"/>
      <c r="R14" s="345"/>
      <c r="S14" s="341">
        <f>S15+S18+S23+S25+S47</f>
        <v>11957</v>
      </c>
    </row>
    <row r="15" spans="1:19" s="356" customFormat="1" ht="36.75" customHeight="1">
      <c r="A15" s="350" t="s">
        <v>359</v>
      </c>
      <c r="B15" s="351" t="s">
        <v>417</v>
      </c>
      <c r="C15" s="352"/>
      <c r="D15" s="353"/>
      <c r="E15" s="353"/>
      <c r="F15" s="353"/>
      <c r="G15" s="353"/>
      <c r="H15" s="354"/>
      <c r="I15" s="354"/>
      <c r="J15" s="354"/>
      <c r="K15" s="354"/>
      <c r="L15" s="354"/>
      <c r="M15" s="354"/>
      <c r="N15" s="354"/>
      <c r="O15" s="354"/>
      <c r="P15" s="434">
        <f>SUM(Q15:S15)</f>
        <v>5268</v>
      </c>
      <c r="Q15" s="355"/>
      <c r="R15" s="355"/>
      <c r="S15" s="341">
        <f>SUM(S16:S17)</f>
        <v>5268</v>
      </c>
    </row>
    <row r="16" spans="1:19" ht="50.25" customHeight="1">
      <c r="A16" s="314">
        <v>1</v>
      </c>
      <c r="B16" s="435" t="s">
        <v>418</v>
      </c>
      <c r="C16" s="353"/>
      <c r="D16" s="353"/>
      <c r="E16" s="353"/>
      <c r="F16" s="353"/>
      <c r="G16" s="353"/>
      <c r="H16" s="353"/>
      <c r="I16" s="353"/>
      <c r="J16" s="353"/>
      <c r="K16" s="353"/>
      <c r="L16" s="353"/>
      <c r="M16" s="353"/>
      <c r="N16" s="353"/>
      <c r="O16" s="353"/>
      <c r="P16" s="434">
        <f>SUM(Q16:S16)</f>
        <v>2532</v>
      </c>
      <c r="Q16" s="353"/>
      <c r="R16" s="353"/>
      <c r="S16" s="357">
        <v>2532</v>
      </c>
    </row>
    <row r="17" spans="1:19" ht="50.25" customHeight="1">
      <c r="A17" s="350">
        <v>2</v>
      </c>
      <c r="B17" s="351" t="s">
        <v>419</v>
      </c>
      <c r="C17" s="358"/>
      <c r="D17" s="315"/>
      <c r="E17" s="315"/>
      <c r="F17" s="315"/>
      <c r="G17" s="315"/>
      <c r="H17" s="315"/>
      <c r="I17" s="315"/>
      <c r="J17" s="315"/>
      <c r="K17" s="315"/>
      <c r="L17" s="315"/>
      <c r="M17" s="315"/>
      <c r="N17" s="315"/>
      <c r="O17" s="315"/>
      <c r="P17" s="434">
        <f>SUM(Q17:S17)</f>
        <v>2736</v>
      </c>
      <c r="Q17" s="315"/>
      <c r="R17" s="315"/>
      <c r="S17" s="357">
        <v>2736</v>
      </c>
    </row>
    <row r="18" spans="1:19" s="411" customFormat="1" ht="50.25" customHeight="1">
      <c r="A18" s="462" t="s">
        <v>359</v>
      </c>
      <c r="B18" s="463" t="s">
        <v>420</v>
      </c>
      <c r="C18" s="430"/>
      <c r="D18" s="422"/>
      <c r="E18" s="422"/>
      <c r="F18" s="422"/>
      <c r="G18" s="422"/>
      <c r="H18" s="422"/>
      <c r="I18" s="422"/>
      <c r="J18" s="422"/>
      <c r="K18" s="422"/>
      <c r="L18" s="422"/>
      <c r="M18" s="422"/>
      <c r="N18" s="422"/>
      <c r="O18" s="422"/>
      <c r="P18" s="341">
        <f>SUM(P19:P22)</f>
        <v>2900</v>
      </c>
      <c r="Q18" s="464"/>
      <c r="R18" s="464"/>
      <c r="S18" s="341">
        <f>SUM(S19:S22)</f>
        <v>2900</v>
      </c>
    </row>
    <row r="19" spans="1:19" ht="50.25" customHeight="1">
      <c r="A19" s="314">
        <v>1</v>
      </c>
      <c r="B19" s="359" t="s">
        <v>421</v>
      </c>
      <c r="C19" s="358"/>
      <c r="D19" s="360"/>
      <c r="E19" s="360"/>
      <c r="F19" s="360"/>
      <c r="G19" s="355"/>
      <c r="H19" s="361"/>
      <c r="I19" s="361"/>
      <c r="J19" s="361"/>
      <c r="K19" s="361"/>
      <c r="L19" s="361"/>
      <c r="M19" s="361"/>
      <c r="N19" s="361"/>
      <c r="O19" s="361"/>
      <c r="P19" s="434">
        <f aca="true" t="shared" si="0" ref="P19:P82">SUM(Q19:S19)</f>
        <v>800</v>
      </c>
      <c r="Q19" s="362"/>
      <c r="R19" s="362"/>
      <c r="S19" s="363">
        <v>800</v>
      </c>
    </row>
    <row r="20" spans="1:19" ht="50.25" customHeight="1">
      <c r="A20" s="350">
        <v>2</v>
      </c>
      <c r="B20" s="351" t="s">
        <v>422</v>
      </c>
      <c r="C20" s="315"/>
      <c r="D20" s="315"/>
      <c r="E20" s="315"/>
      <c r="F20" s="315"/>
      <c r="G20" s="315"/>
      <c r="H20" s="315"/>
      <c r="I20" s="315"/>
      <c r="J20" s="315"/>
      <c r="K20" s="315"/>
      <c r="L20" s="315"/>
      <c r="M20" s="315"/>
      <c r="N20" s="315"/>
      <c r="O20" s="315"/>
      <c r="P20" s="434">
        <f t="shared" si="0"/>
        <v>800</v>
      </c>
      <c r="Q20" s="355"/>
      <c r="R20" s="355"/>
      <c r="S20" s="363">
        <v>800</v>
      </c>
    </row>
    <row r="21" spans="1:19" ht="50.25" customHeight="1">
      <c r="A21" s="314">
        <v>3</v>
      </c>
      <c r="B21" s="359" t="s">
        <v>567</v>
      </c>
      <c r="C21" s="352"/>
      <c r="D21" s="364"/>
      <c r="E21" s="364"/>
      <c r="F21" s="364"/>
      <c r="G21" s="364"/>
      <c r="H21" s="365"/>
      <c r="I21" s="365"/>
      <c r="J21" s="365"/>
      <c r="K21" s="365"/>
      <c r="L21" s="365"/>
      <c r="M21" s="365"/>
      <c r="N21" s="365"/>
      <c r="O21" s="365"/>
      <c r="P21" s="434">
        <f t="shared" si="0"/>
        <v>1000</v>
      </c>
      <c r="Q21" s="362"/>
      <c r="R21" s="362"/>
      <c r="S21" s="366">
        <v>1000</v>
      </c>
    </row>
    <row r="22" spans="1:19" ht="50.25" customHeight="1">
      <c r="A22" s="314">
        <v>4</v>
      </c>
      <c r="B22" s="367" t="s">
        <v>423</v>
      </c>
      <c r="C22" s="353"/>
      <c r="D22" s="353"/>
      <c r="E22" s="353"/>
      <c r="F22" s="353"/>
      <c r="G22" s="353"/>
      <c r="H22" s="353"/>
      <c r="I22" s="353"/>
      <c r="J22" s="353"/>
      <c r="K22" s="353"/>
      <c r="L22" s="353"/>
      <c r="M22" s="353"/>
      <c r="N22" s="353"/>
      <c r="O22" s="353"/>
      <c r="P22" s="434">
        <f t="shared" si="0"/>
        <v>300</v>
      </c>
      <c r="Q22" s="353"/>
      <c r="R22" s="353"/>
      <c r="S22" s="366">
        <v>300</v>
      </c>
    </row>
    <row r="23" spans="1:19" s="331" customFormat="1" ht="50.25" customHeight="1">
      <c r="A23" s="347" t="s">
        <v>12</v>
      </c>
      <c r="B23" s="348" t="s">
        <v>424</v>
      </c>
      <c r="C23" s="345"/>
      <c r="D23" s="345"/>
      <c r="E23" s="345"/>
      <c r="F23" s="345"/>
      <c r="G23" s="345"/>
      <c r="H23" s="345"/>
      <c r="I23" s="345"/>
      <c r="J23" s="345"/>
      <c r="K23" s="345"/>
      <c r="L23" s="345"/>
      <c r="M23" s="345"/>
      <c r="N23" s="345"/>
      <c r="O23" s="345"/>
      <c r="P23" s="368">
        <f>P24</f>
        <v>200</v>
      </c>
      <c r="Q23" s="345"/>
      <c r="R23" s="345"/>
      <c r="S23" s="368">
        <f>S24</f>
        <v>200</v>
      </c>
    </row>
    <row r="24" spans="1:19" ht="50.25" customHeight="1">
      <c r="A24" s="350" t="s">
        <v>207</v>
      </c>
      <c r="B24" s="351" t="s">
        <v>425</v>
      </c>
      <c r="C24" s="353"/>
      <c r="D24" s="353"/>
      <c r="E24" s="353"/>
      <c r="F24" s="353"/>
      <c r="G24" s="353"/>
      <c r="H24" s="353"/>
      <c r="I24" s="353"/>
      <c r="J24" s="353"/>
      <c r="K24" s="353"/>
      <c r="L24" s="353"/>
      <c r="M24" s="353"/>
      <c r="N24" s="353"/>
      <c r="O24" s="353"/>
      <c r="P24" s="434">
        <f t="shared" si="0"/>
        <v>200</v>
      </c>
      <c r="Q24" s="362"/>
      <c r="R24" s="362"/>
      <c r="S24" s="363">
        <v>200</v>
      </c>
    </row>
    <row r="25" spans="1:19" s="331" customFormat="1" ht="50.25" customHeight="1">
      <c r="A25" s="401" t="s">
        <v>359</v>
      </c>
      <c r="B25" s="402" t="s">
        <v>426</v>
      </c>
      <c r="C25" s="403"/>
      <c r="D25" s="404"/>
      <c r="E25" s="404"/>
      <c r="F25" s="404"/>
      <c r="G25" s="404"/>
      <c r="H25" s="404"/>
      <c r="I25" s="404"/>
      <c r="J25" s="404"/>
      <c r="K25" s="404"/>
      <c r="L25" s="404"/>
      <c r="M25" s="404"/>
      <c r="N25" s="404"/>
      <c r="O25" s="404"/>
      <c r="P25" s="434">
        <f t="shared" si="0"/>
        <v>1672</v>
      </c>
      <c r="Q25" s="405"/>
      <c r="R25" s="405"/>
      <c r="S25" s="341">
        <f>S26+S41</f>
        <v>1672</v>
      </c>
    </row>
    <row r="26" spans="1:19" s="331" customFormat="1" ht="50.25" customHeight="1">
      <c r="A26" s="338" t="s">
        <v>15</v>
      </c>
      <c r="B26" s="369" t="s">
        <v>427</v>
      </c>
      <c r="C26" s="340"/>
      <c r="D26" s="340"/>
      <c r="E26" s="340"/>
      <c r="F26" s="340"/>
      <c r="G26" s="340"/>
      <c r="H26" s="340"/>
      <c r="I26" s="340"/>
      <c r="J26" s="340"/>
      <c r="K26" s="340"/>
      <c r="L26" s="340"/>
      <c r="M26" s="340"/>
      <c r="N26" s="340"/>
      <c r="O26" s="340"/>
      <c r="P26" s="434">
        <f t="shared" si="0"/>
        <v>979</v>
      </c>
      <c r="Q26" s="340"/>
      <c r="R26" s="340"/>
      <c r="S26" s="341">
        <f>S27</f>
        <v>979</v>
      </c>
    </row>
    <row r="27" spans="1:19" ht="50.25" customHeight="1">
      <c r="A27" s="370" t="s">
        <v>428</v>
      </c>
      <c r="B27" s="371" t="s">
        <v>429</v>
      </c>
      <c r="C27" s="372"/>
      <c r="D27" s="372"/>
      <c r="E27" s="372"/>
      <c r="F27" s="372"/>
      <c r="G27" s="372"/>
      <c r="H27" s="372"/>
      <c r="I27" s="372"/>
      <c r="J27" s="372"/>
      <c r="K27" s="372"/>
      <c r="L27" s="372"/>
      <c r="M27" s="372"/>
      <c r="N27" s="372"/>
      <c r="O27" s="372"/>
      <c r="P27" s="434">
        <f t="shared" si="0"/>
        <v>979</v>
      </c>
      <c r="Q27" s="372"/>
      <c r="R27" s="372"/>
      <c r="S27" s="341">
        <f>SUM(S28:S40)</f>
        <v>979</v>
      </c>
    </row>
    <row r="28" spans="1:19" ht="50.25" customHeight="1">
      <c r="A28" s="370">
        <v>1</v>
      </c>
      <c r="B28" s="371" t="s">
        <v>430</v>
      </c>
      <c r="C28" s="372"/>
      <c r="D28" s="372"/>
      <c r="E28" s="372"/>
      <c r="F28" s="372"/>
      <c r="G28" s="372"/>
      <c r="H28" s="372"/>
      <c r="I28" s="372"/>
      <c r="J28" s="372"/>
      <c r="K28" s="372"/>
      <c r="L28" s="372"/>
      <c r="M28" s="372"/>
      <c r="N28" s="372"/>
      <c r="O28" s="372"/>
      <c r="P28" s="434">
        <f t="shared" si="0"/>
        <v>100</v>
      </c>
      <c r="Q28" s="372"/>
      <c r="R28" s="372"/>
      <c r="S28" s="373">
        <v>100</v>
      </c>
    </row>
    <row r="29" spans="1:19" ht="50.25" customHeight="1">
      <c r="A29" s="370">
        <v>2</v>
      </c>
      <c r="B29" s="371" t="s">
        <v>431</v>
      </c>
      <c r="C29" s="372"/>
      <c r="D29" s="372"/>
      <c r="E29" s="372"/>
      <c r="F29" s="372"/>
      <c r="G29" s="372"/>
      <c r="H29" s="372"/>
      <c r="I29" s="372"/>
      <c r="J29" s="372"/>
      <c r="K29" s="372"/>
      <c r="L29" s="372"/>
      <c r="M29" s="372"/>
      <c r="N29" s="372"/>
      <c r="O29" s="372"/>
      <c r="P29" s="434">
        <f t="shared" si="0"/>
        <v>100</v>
      </c>
      <c r="Q29" s="372"/>
      <c r="R29" s="372"/>
      <c r="S29" s="373">
        <v>100</v>
      </c>
    </row>
    <row r="30" spans="1:19" ht="50.25" customHeight="1">
      <c r="A30" s="441">
        <v>3</v>
      </c>
      <c r="B30" s="442" t="s">
        <v>432</v>
      </c>
      <c r="C30" s="443"/>
      <c r="D30" s="443"/>
      <c r="E30" s="443"/>
      <c r="F30" s="443"/>
      <c r="G30" s="443"/>
      <c r="H30" s="443"/>
      <c r="I30" s="443"/>
      <c r="J30" s="443"/>
      <c r="K30" s="443"/>
      <c r="L30" s="443"/>
      <c r="M30" s="443"/>
      <c r="N30" s="443"/>
      <c r="O30" s="443"/>
      <c r="P30" s="444">
        <f t="shared" si="0"/>
        <v>100</v>
      </c>
      <c r="Q30" s="443"/>
      <c r="R30" s="443"/>
      <c r="S30" s="445">
        <v>100</v>
      </c>
    </row>
    <row r="31" spans="1:19" ht="50.25" customHeight="1">
      <c r="A31" s="370">
        <v>4</v>
      </c>
      <c r="B31" s="371" t="s">
        <v>433</v>
      </c>
      <c r="C31" s="372"/>
      <c r="D31" s="372"/>
      <c r="E31" s="372"/>
      <c r="F31" s="372"/>
      <c r="G31" s="372"/>
      <c r="H31" s="372"/>
      <c r="I31" s="372"/>
      <c r="J31" s="372"/>
      <c r="K31" s="372"/>
      <c r="L31" s="372"/>
      <c r="M31" s="372"/>
      <c r="N31" s="372"/>
      <c r="O31" s="372"/>
      <c r="P31" s="434">
        <f t="shared" si="0"/>
        <v>76</v>
      </c>
      <c r="Q31" s="372"/>
      <c r="R31" s="372"/>
      <c r="S31" s="373">
        <v>76</v>
      </c>
    </row>
    <row r="32" spans="1:19" ht="50.25" customHeight="1">
      <c r="A32" s="370">
        <v>5</v>
      </c>
      <c r="B32" s="371" t="s">
        <v>434</v>
      </c>
      <c r="C32" s="372"/>
      <c r="D32" s="372"/>
      <c r="E32" s="372"/>
      <c r="F32" s="372"/>
      <c r="G32" s="372"/>
      <c r="H32" s="372"/>
      <c r="I32" s="372"/>
      <c r="J32" s="372"/>
      <c r="K32" s="372"/>
      <c r="L32" s="372"/>
      <c r="M32" s="372"/>
      <c r="N32" s="372"/>
      <c r="O32" s="372"/>
      <c r="P32" s="434">
        <f t="shared" si="0"/>
        <v>65</v>
      </c>
      <c r="Q32" s="372"/>
      <c r="R32" s="372"/>
      <c r="S32" s="374">
        <v>65</v>
      </c>
    </row>
    <row r="33" spans="1:19" ht="50.25" customHeight="1">
      <c r="A33" s="370">
        <v>6</v>
      </c>
      <c r="B33" s="371" t="s">
        <v>435</v>
      </c>
      <c r="C33" s="372"/>
      <c r="D33" s="372"/>
      <c r="E33" s="372"/>
      <c r="F33" s="372"/>
      <c r="G33" s="372"/>
      <c r="H33" s="372"/>
      <c r="I33" s="372"/>
      <c r="J33" s="372"/>
      <c r="K33" s="372"/>
      <c r="L33" s="372"/>
      <c r="M33" s="372"/>
      <c r="N33" s="372"/>
      <c r="O33" s="372"/>
      <c r="P33" s="434">
        <f t="shared" si="0"/>
        <v>48</v>
      </c>
      <c r="Q33" s="372"/>
      <c r="R33" s="372"/>
      <c r="S33" s="375">
        <v>48</v>
      </c>
    </row>
    <row r="34" spans="1:19" ht="50.25" customHeight="1">
      <c r="A34" s="370">
        <v>7</v>
      </c>
      <c r="B34" s="371" t="s">
        <v>436</v>
      </c>
      <c r="C34" s="372"/>
      <c r="D34" s="372"/>
      <c r="E34" s="372"/>
      <c r="F34" s="372"/>
      <c r="G34" s="372"/>
      <c r="H34" s="372"/>
      <c r="I34" s="372"/>
      <c r="J34" s="372"/>
      <c r="K34" s="372"/>
      <c r="L34" s="372"/>
      <c r="M34" s="372"/>
      <c r="N34" s="372"/>
      <c r="O34" s="372"/>
      <c r="P34" s="434">
        <f t="shared" si="0"/>
        <v>48</v>
      </c>
      <c r="Q34" s="372"/>
      <c r="R34" s="372"/>
      <c r="S34" s="375">
        <v>48</v>
      </c>
    </row>
    <row r="35" spans="1:19" ht="50.25" customHeight="1">
      <c r="A35" s="370">
        <v>8</v>
      </c>
      <c r="B35" s="371" t="s">
        <v>437</v>
      </c>
      <c r="C35" s="372"/>
      <c r="D35" s="372"/>
      <c r="E35" s="372"/>
      <c r="F35" s="372"/>
      <c r="G35" s="372"/>
      <c r="H35" s="372"/>
      <c r="I35" s="372"/>
      <c r="J35" s="372"/>
      <c r="K35" s="372"/>
      <c r="L35" s="372"/>
      <c r="M35" s="372"/>
      <c r="N35" s="372"/>
      <c r="O35" s="372"/>
      <c r="P35" s="434">
        <f t="shared" si="0"/>
        <v>56</v>
      </c>
      <c r="Q35" s="372"/>
      <c r="R35" s="372"/>
      <c r="S35" s="375">
        <v>56</v>
      </c>
    </row>
    <row r="36" spans="1:19" ht="50.25" customHeight="1">
      <c r="A36" s="370">
        <v>9</v>
      </c>
      <c r="B36" s="371" t="s">
        <v>438</v>
      </c>
      <c r="C36" s="372"/>
      <c r="D36" s="372"/>
      <c r="E36" s="372"/>
      <c r="F36" s="372"/>
      <c r="G36" s="372"/>
      <c r="H36" s="372"/>
      <c r="I36" s="372"/>
      <c r="J36" s="372"/>
      <c r="K36" s="372"/>
      <c r="L36" s="372"/>
      <c r="M36" s="372"/>
      <c r="N36" s="372"/>
      <c r="O36" s="372"/>
      <c r="P36" s="434">
        <f t="shared" si="0"/>
        <v>48</v>
      </c>
      <c r="Q36" s="372"/>
      <c r="R36" s="372"/>
      <c r="S36" s="376">
        <v>48</v>
      </c>
    </row>
    <row r="37" spans="1:19" ht="50.25" customHeight="1">
      <c r="A37" s="370">
        <v>10</v>
      </c>
      <c r="B37" s="371" t="s">
        <v>439</v>
      </c>
      <c r="C37" s="372"/>
      <c r="D37" s="372"/>
      <c r="E37" s="372"/>
      <c r="F37" s="372"/>
      <c r="G37" s="372"/>
      <c r="H37" s="372"/>
      <c r="I37" s="372"/>
      <c r="J37" s="372"/>
      <c r="K37" s="372"/>
      <c r="L37" s="372"/>
      <c r="M37" s="372"/>
      <c r="N37" s="372"/>
      <c r="O37" s="372"/>
      <c r="P37" s="434">
        <f t="shared" si="0"/>
        <v>52</v>
      </c>
      <c r="Q37" s="372"/>
      <c r="R37" s="372"/>
      <c r="S37" s="375">
        <v>52</v>
      </c>
    </row>
    <row r="38" spans="1:19" ht="50.25" customHeight="1">
      <c r="A38" s="370">
        <v>11</v>
      </c>
      <c r="B38" s="371" t="s">
        <v>440</v>
      </c>
      <c r="C38" s="372"/>
      <c r="D38" s="372"/>
      <c r="E38" s="372"/>
      <c r="F38" s="372"/>
      <c r="G38" s="372"/>
      <c r="H38" s="372"/>
      <c r="I38" s="372"/>
      <c r="J38" s="372"/>
      <c r="K38" s="372"/>
      <c r="L38" s="372"/>
      <c r="M38" s="372"/>
      <c r="N38" s="372"/>
      <c r="O38" s="372"/>
      <c r="P38" s="434">
        <f t="shared" si="0"/>
        <v>90</v>
      </c>
      <c r="Q38" s="372"/>
      <c r="R38" s="372"/>
      <c r="S38" s="375">
        <v>90</v>
      </c>
    </row>
    <row r="39" spans="1:19" ht="50.25" customHeight="1">
      <c r="A39" s="370">
        <v>12</v>
      </c>
      <c r="B39" s="371" t="s">
        <v>441</v>
      </c>
      <c r="C39" s="372"/>
      <c r="D39" s="372"/>
      <c r="E39" s="372"/>
      <c r="F39" s="372"/>
      <c r="G39" s="372"/>
      <c r="H39" s="372"/>
      <c r="I39" s="372"/>
      <c r="J39" s="372"/>
      <c r="K39" s="372"/>
      <c r="L39" s="372"/>
      <c r="M39" s="372"/>
      <c r="N39" s="372"/>
      <c r="O39" s="372"/>
      <c r="P39" s="434">
        <f t="shared" si="0"/>
        <v>96</v>
      </c>
      <c r="Q39" s="372"/>
      <c r="R39" s="372"/>
      <c r="S39" s="375">
        <v>96</v>
      </c>
    </row>
    <row r="40" spans="1:19" ht="50.25" customHeight="1">
      <c r="A40" s="370">
        <v>13</v>
      </c>
      <c r="B40" s="371" t="s">
        <v>442</v>
      </c>
      <c r="C40" s="372"/>
      <c r="D40" s="372"/>
      <c r="E40" s="372"/>
      <c r="F40" s="372"/>
      <c r="G40" s="372"/>
      <c r="H40" s="372"/>
      <c r="I40" s="372"/>
      <c r="J40" s="372"/>
      <c r="K40" s="372"/>
      <c r="L40" s="372"/>
      <c r="M40" s="372"/>
      <c r="N40" s="372"/>
      <c r="O40" s="372"/>
      <c r="P40" s="434">
        <f t="shared" si="0"/>
        <v>100</v>
      </c>
      <c r="Q40" s="372"/>
      <c r="R40" s="372"/>
      <c r="S40" s="373">
        <v>100</v>
      </c>
    </row>
    <row r="41" spans="1:19" s="331" customFormat="1" ht="50.25" customHeight="1">
      <c r="A41" s="377" t="s">
        <v>11</v>
      </c>
      <c r="B41" s="378" t="s">
        <v>443</v>
      </c>
      <c r="C41" s="379"/>
      <c r="D41" s="379"/>
      <c r="E41" s="379"/>
      <c r="F41" s="379"/>
      <c r="G41" s="379"/>
      <c r="H41" s="379"/>
      <c r="I41" s="379"/>
      <c r="J41" s="379"/>
      <c r="K41" s="379"/>
      <c r="L41" s="379"/>
      <c r="M41" s="379"/>
      <c r="N41" s="379"/>
      <c r="O41" s="379"/>
      <c r="P41" s="434">
        <f t="shared" si="0"/>
        <v>693</v>
      </c>
      <c r="Q41" s="379"/>
      <c r="R41" s="379"/>
      <c r="S41" s="380">
        <f>SUM(S42:S46)</f>
        <v>693</v>
      </c>
    </row>
    <row r="42" spans="1:19" ht="50.25" customHeight="1">
      <c r="A42" s="370">
        <v>1</v>
      </c>
      <c r="B42" s="371" t="s">
        <v>444</v>
      </c>
      <c r="C42" s="372"/>
      <c r="D42" s="372"/>
      <c r="E42" s="372"/>
      <c r="F42" s="372"/>
      <c r="G42" s="372"/>
      <c r="H42" s="372"/>
      <c r="I42" s="372"/>
      <c r="J42" s="372"/>
      <c r="K42" s="372"/>
      <c r="L42" s="372"/>
      <c r="M42" s="372"/>
      <c r="N42" s="372"/>
      <c r="O42" s="372"/>
      <c r="P42" s="434">
        <f t="shared" si="0"/>
        <v>213</v>
      </c>
      <c r="Q42" s="372"/>
      <c r="R42" s="372"/>
      <c r="S42" s="381">
        <v>213</v>
      </c>
    </row>
    <row r="43" spans="1:19" ht="50.25" customHeight="1">
      <c r="A43" s="370" t="s">
        <v>445</v>
      </c>
      <c r="B43" s="371" t="s">
        <v>446</v>
      </c>
      <c r="C43" s="372"/>
      <c r="D43" s="372"/>
      <c r="E43" s="372"/>
      <c r="F43" s="372"/>
      <c r="G43" s="372"/>
      <c r="H43" s="372"/>
      <c r="I43" s="372"/>
      <c r="J43" s="372"/>
      <c r="K43" s="372"/>
      <c r="L43" s="372"/>
      <c r="M43" s="372"/>
      <c r="N43" s="372"/>
      <c r="O43" s="372"/>
      <c r="P43" s="434">
        <f t="shared" si="0"/>
        <v>210</v>
      </c>
      <c r="Q43" s="372"/>
      <c r="R43" s="372"/>
      <c r="S43" s="381">
        <v>210</v>
      </c>
    </row>
    <row r="44" spans="1:19" s="331" customFormat="1" ht="50.25" customHeight="1">
      <c r="A44" s="377"/>
      <c r="B44" s="378" t="s">
        <v>447</v>
      </c>
      <c r="C44" s="379"/>
      <c r="D44" s="379"/>
      <c r="E44" s="379"/>
      <c r="F44" s="379"/>
      <c r="G44" s="379"/>
      <c r="H44" s="379"/>
      <c r="I44" s="379"/>
      <c r="J44" s="379"/>
      <c r="K44" s="379"/>
      <c r="L44" s="379"/>
      <c r="M44" s="379"/>
      <c r="N44" s="379"/>
      <c r="O44" s="379"/>
      <c r="P44" s="434">
        <f t="shared" si="0"/>
        <v>0</v>
      </c>
      <c r="Q44" s="379"/>
      <c r="R44" s="379"/>
      <c r="S44" s="382"/>
    </row>
    <row r="45" spans="1:19" ht="50.25" customHeight="1">
      <c r="A45" s="370">
        <v>1</v>
      </c>
      <c r="B45" s="371" t="s">
        <v>448</v>
      </c>
      <c r="C45" s="372"/>
      <c r="D45" s="372"/>
      <c r="E45" s="372"/>
      <c r="F45" s="372"/>
      <c r="G45" s="372"/>
      <c r="H45" s="372"/>
      <c r="I45" s="372"/>
      <c r="J45" s="372"/>
      <c r="K45" s="372"/>
      <c r="L45" s="372"/>
      <c r="M45" s="372"/>
      <c r="N45" s="372"/>
      <c r="O45" s="372"/>
      <c r="P45" s="434">
        <f t="shared" si="0"/>
        <v>201</v>
      </c>
      <c r="Q45" s="372"/>
      <c r="R45" s="372"/>
      <c r="S45" s="381">
        <v>201</v>
      </c>
    </row>
    <row r="46" spans="1:19" ht="50.25" customHeight="1">
      <c r="A46" s="370">
        <v>2</v>
      </c>
      <c r="B46" s="371" t="s">
        <v>449</v>
      </c>
      <c r="C46" s="372"/>
      <c r="D46" s="372"/>
      <c r="E46" s="372"/>
      <c r="F46" s="372"/>
      <c r="G46" s="372"/>
      <c r="H46" s="372"/>
      <c r="I46" s="372"/>
      <c r="J46" s="372"/>
      <c r="K46" s="372"/>
      <c r="L46" s="372"/>
      <c r="M46" s="372"/>
      <c r="N46" s="372"/>
      <c r="O46" s="372"/>
      <c r="P46" s="434">
        <f t="shared" si="0"/>
        <v>69</v>
      </c>
      <c r="Q46" s="372"/>
      <c r="R46" s="372"/>
      <c r="S46" s="381">
        <v>69</v>
      </c>
    </row>
    <row r="47" spans="1:19" s="331" customFormat="1" ht="50.25" customHeight="1">
      <c r="A47" s="377" t="s">
        <v>13</v>
      </c>
      <c r="B47" s="378" t="s">
        <v>450</v>
      </c>
      <c r="C47" s="379"/>
      <c r="D47" s="379"/>
      <c r="E47" s="379"/>
      <c r="F47" s="379"/>
      <c r="G47" s="379"/>
      <c r="H47" s="379"/>
      <c r="I47" s="379"/>
      <c r="J47" s="379"/>
      <c r="K47" s="379"/>
      <c r="L47" s="379"/>
      <c r="M47" s="379"/>
      <c r="N47" s="379"/>
      <c r="O47" s="379"/>
      <c r="P47" s="434">
        <f t="shared" si="0"/>
        <v>1917</v>
      </c>
      <c r="Q47" s="381"/>
      <c r="R47" s="372"/>
      <c r="S47" s="381">
        <v>1917</v>
      </c>
    </row>
    <row r="48" spans="1:19" s="331" customFormat="1" ht="50.25" customHeight="1">
      <c r="A48" s="377" t="s">
        <v>7</v>
      </c>
      <c r="B48" s="378" t="s">
        <v>563</v>
      </c>
      <c r="C48" s="379"/>
      <c r="D48" s="379"/>
      <c r="E48" s="379"/>
      <c r="F48" s="379"/>
      <c r="G48" s="379"/>
      <c r="H48" s="379"/>
      <c r="I48" s="379"/>
      <c r="J48" s="379"/>
      <c r="K48" s="379"/>
      <c r="L48" s="379"/>
      <c r="M48" s="379"/>
      <c r="N48" s="379"/>
      <c r="O48" s="379"/>
      <c r="P48" s="434">
        <f t="shared" si="0"/>
        <v>95167</v>
      </c>
      <c r="Q48" s="381"/>
      <c r="R48" s="436">
        <f>R49+R173+R198</f>
        <v>93511</v>
      </c>
      <c r="S48" s="381">
        <f>S49+S173+S198</f>
        <v>1656</v>
      </c>
    </row>
    <row r="49" spans="1:19" s="331" customFormat="1" ht="50.25" customHeight="1">
      <c r="A49" s="377" t="s">
        <v>15</v>
      </c>
      <c r="B49" s="378" t="s">
        <v>451</v>
      </c>
      <c r="C49" s="379"/>
      <c r="D49" s="379"/>
      <c r="E49" s="379"/>
      <c r="F49" s="379"/>
      <c r="G49" s="379"/>
      <c r="H49" s="379"/>
      <c r="I49" s="379"/>
      <c r="J49" s="379"/>
      <c r="K49" s="379"/>
      <c r="L49" s="379"/>
      <c r="M49" s="379"/>
      <c r="N49" s="379"/>
      <c r="O49" s="379"/>
      <c r="P49" s="434">
        <f t="shared" si="0"/>
        <v>54210</v>
      </c>
      <c r="Q49" s="379"/>
      <c r="R49" s="384">
        <f>R50</f>
        <v>52754</v>
      </c>
      <c r="S49" s="384">
        <f>S50</f>
        <v>1456</v>
      </c>
    </row>
    <row r="50" spans="1:19" s="331" customFormat="1" ht="50.25" customHeight="1">
      <c r="A50" s="377" t="s">
        <v>452</v>
      </c>
      <c r="B50" s="378" t="s">
        <v>453</v>
      </c>
      <c r="C50" s="379"/>
      <c r="D50" s="379"/>
      <c r="E50" s="379"/>
      <c r="F50" s="379"/>
      <c r="G50" s="379"/>
      <c r="H50" s="379"/>
      <c r="I50" s="379"/>
      <c r="J50" s="379"/>
      <c r="K50" s="379"/>
      <c r="L50" s="379"/>
      <c r="M50" s="379"/>
      <c r="N50" s="379"/>
      <c r="O50" s="379"/>
      <c r="P50" s="434">
        <f t="shared" si="0"/>
        <v>54210</v>
      </c>
      <c r="Q50" s="379"/>
      <c r="R50" s="384">
        <f>R51+R58+R157+R160+R171</f>
        <v>52754</v>
      </c>
      <c r="S50" s="384">
        <f>S51+S58+S157+S160+S171</f>
        <v>1456</v>
      </c>
    </row>
    <row r="51" spans="1:19" s="411" customFormat="1" ht="50.25" customHeight="1">
      <c r="A51" s="407" t="s">
        <v>359</v>
      </c>
      <c r="B51" s="408" t="s">
        <v>454</v>
      </c>
      <c r="C51" s="409"/>
      <c r="D51" s="409"/>
      <c r="E51" s="409"/>
      <c r="F51" s="409"/>
      <c r="G51" s="409"/>
      <c r="H51" s="409"/>
      <c r="I51" s="409"/>
      <c r="J51" s="409"/>
      <c r="K51" s="409"/>
      <c r="L51" s="409"/>
      <c r="M51" s="409"/>
      <c r="N51" s="409"/>
      <c r="O51" s="409"/>
      <c r="P51" s="434">
        <f t="shared" si="0"/>
        <v>4570</v>
      </c>
      <c r="Q51" s="409"/>
      <c r="R51" s="406">
        <f>R52+R55</f>
        <v>4570</v>
      </c>
      <c r="S51" s="410"/>
    </row>
    <row r="52" spans="1:19" s="331" customFormat="1" ht="50.25" customHeight="1">
      <c r="A52" s="377" t="s">
        <v>428</v>
      </c>
      <c r="B52" s="378" t="s">
        <v>455</v>
      </c>
      <c r="C52" s="379"/>
      <c r="D52" s="379"/>
      <c r="E52" s="379"/>
      <c r="F52" s="379"/>
      <c r="G52" s="379"/>
      <c r="H52" s="379"/>
      <c r="I52" s="379"/>
      <c r="J52" s="379"/>
      <c r="K52" s="379"/>
      <c r="L52" s="379"/>
      <c r="M52" s="379"/>
      <c r="N52" s="379"/>
      <c r="O52" s="379"/>
      <c r="P52" s="434">
        <f t="shared" si="0"/>
        <v>400</v>
      </c>
      <c r="Q52" s="379"/>
      <c r="R52" s="384">
        <f>SUM(R53:R54)</f>
        <v>400</v>
      </c>
      <c r="S52" s="387"/>
    </row>
    <row r="53" spans="1:19" ht="50.25" customHeight="1">
      <c r="A53" s="370">
        <v>1</v>
      </c>
      <c r="B53" s="371" t="s">
        <v>456</v>
      </c>
      <c r="C53" s="372"/>
      <c r="D53" s="372"/>
      <c r="E53" s="372"/>
      <c r="F53" s="372"/>
      <c r="G53" s="372"/>
      <c r="H53" s="372"/>
      <c r="I53" s="372"/>
      <c r="J53" s="372"/>
      <c r="K53" s="372"/>
      <c r="L53" s="372"/>
      <c r="M53" s="372"/>
      <c r="N53" s="372"/>
      <c r="O53" s="372"/>
      <c r="P53" s="434">
        <f t="shared" si="0"/>
        <v>200</v>
      </c>
      <c r="Q53" s="372"/>
      <c r="R53" s="385">
        <v>200</v>
      </c>
      <c r="S53" s="383"/>
    </row>
    <row r="54" spans="1:19" ht="50.25" customHeight="1">
      <c r="A54" s="370">
        <v>2</v>
      </c>
      <c r="B54" s="371" t="s">
        <v>457</v>
      </c>
      <c r="C54" s="372"/>
      <c r="D54" s="372"/>
      <c r="E54" s="372"/>
      <c r="F54" s="372"/>
      <c r="G54" s="372"/>
      <c r="H54" s="372"/>
      <c r="I54" s="372"/>
      <c r="J54" s="372"/>
      <c r="K54" s="372"/>
      <c r="L54" s="372"/>
      <c r="M54" s="372"/>
      <c r="N54" s="372"/>
      <c r="O54" s="372"/>
      <c r="P54" s="434">
        <f t="shared" si="0"/>
        <v>200</v>
      </c>
      <c r="Q54" s="372"/>
      <c r="R54" s="385">
        <v>200</v>
      </c>
      <c r="S54" s="383"/>
    </row>
    <row r="55" spans="1:19" s="331" customFormat="1" ht="50.25" customHeight="1">
      <c r="A55" s="377" t="s">
        <v>458</v>
      </c>
      <c r="B55" s="378" t="s">
        <v>459</v>
      </c>
      <c r="C55" s="379"/>
      <c r="D55" s="379"/>
      <c r="E55" s="379"/>
      <c r="F55" s="379"/>
      <c r="G55" s="379"/>
      <c r="H55" s="379"/>
      <c r="I55" s="379"/>
      <c r="J55" s="379"/>
      <c r="K55" s="379"/>
      <c r="L55" s="379"/>
      <c r="M55" s="379"/>
      <c r="N55" s="379"/>
      <c r="O55" s="379"/>
      <c r="P55" s="434">
        <f t="shared" si="0"/>
        <v>4170</v>
      </c>
      <c r="Q55" s="379"/>
      <c r="R55" s="384">
        <f>SUM(R56:R57)</f>
        <v>4170</v>
      </c>
      <c r="S55" s="387"/>
    </row>
    <row r="56" spans="1:19" ht="50.25" customHeight="1">
      <c r="A56" s="370">
        <v>1</v>
      </c>
      <c r="B56" s="371" t="s">
        <v>460</v>
      </c>
      <c r="C56" s="372"/>
      <c r="D56" s="372"/>
      <c r="E56" s="372"/>
      <c r="F56" s="372"/>
      <c r="G56" s="372"/>
      <c r="H56" s="372"/>
      <c r="I56" s="372"/>
      <c r="J56" s="372"/>
      <c r="K56" s="372"/>
      <c r="L56" s="372"/>
      <c r="M56" s="372"/>
      <c r="N56" s="372"/>
      <c r="O56" s="372"/>
      <c r="P56" s="434">
        <f t="shared" si="0"/>
        <v>2593</v>
      </c>
      <c r="Q56" s="372"/>
      <c r="R56" s="385">
        <v>2593</v>
      </c>
      <c r="S56" s="383"/>
    </row>
    <row r="57" spans="1:19" ht="50.25" customHeight="1">
      <c r="A57" s="391">
        <v>2</v>
      </c>
      <c r="B57" s="394" t="s">
        <v>461</v>
      </c>
      <c r="C57" s="372"/>
      <c r="D57" s="372"/>
      <c r="E57" s="372"/>
      <c r="F57" s="372"/>
      <c r="G57" s="372"/>
      <c r="H57" s="372"/>
      <c r="I57" s="372"/>
      <c r="J57" s="372"/>
      <c r="K57" s="372"/>
      <c r="L57" s="372"/>
      <c r="M57" s="372"/>
      <c r="N57" s="372"/>
      <c r="O57" s="372"/>
      <c r="P57" s="434">
        <f t="shared" si="0"/>
        <v>1577</v>
      </c>
      <c r="Q57" s="372"/>
      <c r="R57" s="385">
        <v>1577</v>
      </c>
      <c r="S57" s="383"/>
    </row>
    <row r="58" spans="1:19" s="411" customFormat="1" ht="72.75" customHeight="1">
      <c r="A58" s="412" t="s">
        <v>359</v>
      </c>
      <c r="B58" s="413" t="s">
        <v>462</v>
      </c>
      <c r="C58" s="409"/>
      <c r="D58" s="409"/>
      <c r="E58" s="409"/>
      <c r="F58" s="409"/>
      <c r="G58" s="409"/>
      <c r="H58" s="409"/>
      <c r="I58" s="409"/>
      <c r="J58" s="409"/>
      <c r="K58" s="409"/>
      <c r="L58" s="409"/>
      <c r="M58" s="409"/>
      <c r="N58" s="409"/>
      <c r="O58" s="409"/>
      <c r="P58" s="434">
        <f t="shared" si="0"/>
        <v>46013</v>
      </c>
      <c r="Q58" s="409"/>
      <c r="R58" s="406">
        <f>R59+R65+R70+R75+R80</f>
        <v>44557</v>
      </c>
      <c r="S58" s="296">
        <f>S59+S65+S70+S75+S80</f>
        <v>1456</v>
      </c>
    </row>
    <row r="59" spans="1:19" s="331" customFormat="1" ht="50.25" customHeight="1">
      <c r="A59" s="392" t="s">
        <v>6</v>
      </c>
      <c r="B59" s="395" t="s">
        <v>463</v>
      </c>
      <c r="C59" s="379"/>
      <c r="D59" s="379"/>
      <c r="E59" s="379"/>
      <c r="F59" s="379"/>
      <c r="G59" s="379"/>
      <c r="H59" s="379"/>
      <c r="I59" s="379"/>
      <c r="J59" s="379"/>
      <c r="K59" s="379"/>
      <c r="L59" s="379"/>
      <c r="M59" s="379"/>
      <c r="N59" s="379"/>
      <c r="O59" s="379"/>
      <c r="P59" s="434">
        <f t="shared" si="0"/>
        <v>19145</v>
      </c>
      <c r="Q59" s="379"/>
      <c r="R59" s="384">
        <f>R60+R63</f>
        <v>18189</v>
      </c>
      <c r="S59" s="296">
        <f>S60+S63</f>
        <v>956</v>
      </c>
    </row>
    <row r="60" spans="1:19" s="331" customFormat="1" ht="50.25" customHeight="1">
      <c r="A60" s="392" t="s">
        <v>428</v>
      </c>
      <c r="B60" s="395" t="s">
        <v>429</v>
      </c>
      <c r="C60" s="379"/>
      <c r="D60" s="379"/>
      <c r="E60" s="379"/>
      <c r="F60" s="379"/>
      <c r="G60" s="379"/>
      <c r="H60" s="379"/>
      <c r="I60" s="379"/>
      <c r="J60" s="379"/>
      <c r="K60" s="379"/>
      <c r="L60" s="379"/>
      <c r="M60" s="379"/>
      <c r="N60" s="379"/>
      <c r="O60" s="379"/>
      <c r="P60" s="434">
        <f t="shared" si="0"/>
        <v>17336</v>
      </c>
      <c r="Q60" s="379"/>
      <c r="R60" s="384">
        <f>SUM(R61:R62)</f>
        <v>16700</v>
      </c>
      <c r="S60" s="296">
        <f>SUM(S61:S62)</f>
        <v>636</v>
      </c>
    </row>
    <row r="61" spans="1:19" ht="50.25" customHeight="1">
      <c r="A61" s="391">
        <v>1</v>
      </c>
      <c r="B61" s="394" t="s">
        <v>444</v>
      </c>
      <c r="C61" s="372"/>
      <c r="D61" s="372"/>
      <c r="E61" s="372"/>
      <c r="F61" s="372"/>
      <c r="G61" s="372"/>
      <c r="H61" s="372"/>
      <c r="I61" s="372"/>
      <c r="J61" s="372"/>
      <c r="K61" s="372"/>
      <c r="L61" s="372"/>
      <c r="M61" s="372"/>
      <c r="N61" s="372"/>
      <c r="O61" s="372"/>
      <c r="P61" s="434">
        <f t="shared" si="0"/>
        <v>8818</v>
      </c>
      <c r="Q61" s="372"/>
      <c r="R61" s="385">
        <v>8500</v>
      </c>
      <c r="S61" s="297">
        <v>318</v>
      </c>
    </row>
    <row r="62" spans="1:19" ht="50.25" customHeight="1">
      <c r="A62" s="391" t="s">
        <v>445</v>
      </c>
      <c r="B62" s="394" t="s">
        <v>446</v>
      </c>
      <c r="C62" s="372"/>
      <c r="D62" s="372"/>
      <c r="E62" s="372"/>
      <c r="F62" s="372"/>
      <c r="G62" s="372"/>
      <c r="H62" s="372"/>
      <c r="I62" s="372"/>
      <c r="J62" s="372"/>
      <c r="K62" s="372"/>
      <c r="L62" s="372"/>
      <c r="M62" s="372"/>
      <c r="N62" s="372"/>
      <c r="O62" s="372"/>
      <c r="P62" s="434">
        <f t="shared" si="0"/>
        <v>8518</v>
      </c>
      <c r="Q62" s="372"/>
      <c r="R62" s="385">
        <v>8200</v>
      </c>
      <c r="S62" s="297">
        <v>318</v>
      </c>
    </row>
    <row r="63" spans="1:19" s="331" customFormat="1" ht="50.25" customHeight="1">
      <c r="A63" s="392" t="s">
        <v>458</v>
      </c>
      <c r="B63" s="395" t="s">
        <v>464</v>
      </c>
      <c r="C63" s="379"/>
      <c r="D63" s="379"/>
      <c r="E63" s="379"/>
      <c r="F63" s="379"/>
      <c r="G63" s="379"/>
      <c r="H63" s="379"/>
      <c r="I63" s="379"/>
      <c r="J63" s="379"/>
      <c r="K63" s="379"/>
      <c r="L63" s="379"/>
      <c r="M63" s="379"/>
      <c r="N63" s="379"/>
      <c r="O63" s="379"/>
      <c r="P63" s="434">
        <f t="shared" si="0"/>
        <v>1809</v>
      </c>
      <c r="Q63" s="379"/>
      <c r="R63" s="386">
        <f>R64</f>
        <v>1489</v>
      </c>
      <c r="S63" s="298">
        <f>S64</f>
        <v>320</v>
      </c>
    </row>
    <row r="64" spans="1:19" ht="50.25" customHeight="1">
      <c r="A64" s="391" t="s">
        <v>465</v>
      </c>
      <c r="B64" s="394" t="s">
        <v>448</v>
      </c>
      <c r="C64" s="372"/>
      <c r="D64" s="372"/>
      <c r="E64" s="372"/>
      <c r="F64" s="372"/>
      <c r="G64" s="372"/>
      <c r="H64" s="372"/>
      <c r="I64" s="372"/>
      <c r="J64" s="372"/>
      <c r="K64" s="372"/>
      <c r="L64" s="372"/>
      <c r="M64" s="372"/>
      <c r="N64" s="372"/>
      <c r="O64" s="372"/>
      <c r="P64" s="434">
        <f t="shared" si="0"/>
        <v>1809</v>
      </c>
      <c r="Q64" s="372"/>
      <c r="R64" s="321">
        <v>1489</v>
      </c>
      <c r="S64" s="297">
        <v>320</v>
      </c>
    </row>
    <row r="65" spans="1:19" s="331" customFormat="1" ht="50.25" customHeight="1">
      <c r="A65" s="392">
        <v>3</v>
      </c>
      <c r="B65" s="395" t="s">
        <v>466</v>
      </c>
      <c r="C65" s="379"/>
      <c r="D65" s="379"/>
      <c r="E65" s="379"/>
      <c r="F65" s="379"/>
      <c r="G65" s="379"/>
      <c r="H65" s="379"/>
      <c r="I65" s="379"/>
      <c r="J65" s="379"/>
      <c r="K65" s="379"/>
      <c r="L65" s="379"/>
      <c r="M65" s="379"/>
      <c r="N65" s="379"/>
      <c r="O65" s="379"/>
      <c r="P65" s="434">
        <f t="shared" si="0"/>
        <v>0</v>
      </c>
      <c r="Q65" s="379"/>
      <c r="R65" s="319">
        <f>R66</f>
        <v>0</v>
      </c>
      <c r="S65" s="300">
        <f>S66</f>
        <v>0</v>
      </c>
    </row>
    <row r="66" spans="1:19" s="411" customFormat="1" ht="50.25" customHeight="1">
      <c r="A66" s="412" t="s">
        <v>428</v>
      </c>
      <c r="B66" s="413" t="s">
        <v>467</v>
      </c>
      <c r="C66" s="409"/>
      <c r="D66" s="409"/>
      <c r="E66" s="409"/>
      <c r="F66" s="409"/>
      <c r="G66" s="409"/>
      <c r="H66" s="409"/>
      <c r="I66" s="409"/>
      <c r="J66" s="409"/>
      <c r="K66" s="409"/>
      <c r="L66" s="409"/>
      <c r="M66" s="409"/>
      <c r="N66" s="409"/>
      <c r="O66" s="409"/>
      <c r="P66" s="434">
        <f t="shared" si="0"/>
        <v>0</v>
      </c>
      <c r="Q66" s="409"/>
      <c r="R66" s="414">
        <f>SUM(R67:R69)</f>
        <v>0</v>
      </c>
      <c r="S66" s="300">
        <f>SUM(S67:S69)</f>
        <v>0</v>
      </c>
    </row>
    <row r="67" spans="1:19" ht="50.25" customHeight="1">
      <c r="A67" s="391" t="s">
        <v>468</v>
      </c>
      <c r="B67" s="394" t="s">
        <v>469</v>
      </c>
      <c r="C67" s="372"/>
      <c r="D67" s="372"/>
      <c r="E67" s="372"/>
      <c r="F67" s="372"/>
      <c r="G67" s="372"/>
      <c r="H67" s="372"/>
      <c r="I67" s="372"/>
      <c r="J67" s="372"/>
      <c r="K67" s="372"/>
      <c r="L67" s="372"/>
      <c r="M67" s="372"/>
      <c r="N67" s="372"/>
      <c r="O67" s="372"/>
      <c r="P67" s="434">
        <f t="shared" si="0"/>
        <v>0</v>
      </c>
      <c r="Q67" s="372"/>
      <c r="R67" s="319"/>
      <c r="S67" s="300"/>
    </row>
    <row r="68" spans="1:19" ht="50.25" customHeight="1">
      <c r="A68" s="391" t="s">
        <v>470</v>
      </c>
      <c r="B68" s="394" t="s">
        <v>471</v>
      </c>
      <c r="C68" s="372"/>
      <c r="D68" s="372"/>
      <c r="E68" s="372"/>
      <c r="F68" s="372"/>
      <c r="G68" s="372"/>
      <c r="H68" s="372"/>
      <c r="I68" s="372"/>
      <c r="J68" s="372"/>
      <c r="K68" s="372"/>
      <c r="L68" s="372"/>
      <c r="M68" s="372"/>
      <c r="N68" s="372"/>
      <c r="O68" s="372"/>
      <c r="P68" s="434">
        <f t="shared" si="0"/>
        <v>0</v>
      </c>
      <c r="Q68" s="372"/>
      <c r="R68" s="319"/>
      <c r="S68" s="300"/>
    </row>
    <row r="69" spans="1:19" ht="50.25" customHeight="1">
      <c r="A69" s="391" t="s">
        <v>472</v>
      </c>
      <c r="B69" s="394" t="s">
        <v>473</v>
      </c>
      <c r="C69" s="372"/>
      <c r="D69" s="372"/>
      <c r="E69" s="372"/>
      <c r="F69" s="372"/>
      <c r="G69" s="372"/>
      <c r="H69" s="372"/>
      <c r="I69" s="372"/>
      <c r="J69" s="372"/>
      <c r="K69" s="372"/>
      <c r="L69" s="372"/>
      <c r="M69" s="372"/>
      <c r="N69" s="372"/>
      <c r="O69" s="372"/>
      <c r="P69" s="434">
        <f t="shared" si="0"/>
        <v>0</v>
      </c>
      <c r="Q69" s="372"/>
      <c r="R69" s="319"/>
      <c r="S69" s="300"/>
    </row>
    <row r="70" spans="1:19" s="331" customFormat="1" ht="50.25" customHeight="1">
      <c r="A70" s="392" t="s">
        <v>7</v>
      </c>
      <c r="B70" s="395" t="s">
        <v>474</v>
      </c>
      <c r="C70" s="379"/>
      <c r="D70" s="379"/>
      <c r="E70" s="379"/>
      <c r="F70" s="379"/>
      <c r="G70" s="379"/>
      <c r="H70" s="379"/>
      <c r="I70" s="379"/>
      <c r="J70" s="379"/>
      <c r="K70" s="379"/>
      <c r="L70" s="379"/>
      <c r="M70" s="379"/>
      <c r="N70" s="379"/>
      <c r="O70" s="379"/>
      <c r="P70" s="434">
        <f t="shared" si="0"/>
        <v>2680</v>
      </c>
      <c r="Q70" s="379"/>
      <c r="R70" s="319">
        <f>R74</f>
        <v>2680</v>
      </c>
      <c r="S70" s="300">
        <f>S74</f>
        <v>0</v>
      </c>
    </row>
    <row r="71" spans="1:19" s="331" customFormat="1" ht="50.25" customHeight="1">
      <c r="A71" s="392" t="s">
        <v>428</v>
      </c>
      <c r="B71" s="395" t="s">
        <v>475</v>
      </c>
      <c r="C71" s="379"/>
      <c r="D71" s="379"/>
      <c r="E71" s="379"/>
      <c r="F71" s="379"/>
      <c r="G71" s="379"/>
      <c r="H71" s="379"/>
      <c r="I71" s="379"/>
      <c r="J71" s="379"/>
      <c r="K71" s="379"/>
      <c r="L71" s="379"/>
      <c r="M71" s="379"/>
      <c r="N71" s="379"/>
      <c r="O71" s="379"/>
      <c r="P71" s="434">
        <f t="shared" si="0"/>
        <v>0</v>
      </c>
      <c r="Q71" s="379"/>
      <c r="R71" s="319"/>
      <c r="S71" s="300"/>
    </row>
    <row r="72" spans="1:19" ht="50.25" customHeight="1">
      <c r="A72" s="391"/>
      <c r="B72" s="394" t="s">
        <v>476</v>
      </c>
      <c r="C72" s="372"/>
      <c r="D72" s="372"/>
      <c r="E72" s="372"/>
      <c r="F72" s="372"/>
      <c r="G72" s="372"/>
      <c r="H72" s="372"/>
      <c r="I72" s="372"/>
      <c r="J72" s="372"/>
      <c r="K72" s="372"/>
      <c r="L72" s="372"/>
      <c r="M72" s="372"/>
      <c r="N72" s="372"/>
      <c r="O72" s="372"/>
      <c r="P72" s="434">
        <f t="shared" si="0"/>
        <v>0</v>
      </c>
      <c r="Q72" s="372"/>
      <c r="R72" s="319"/>
      <c r="S72" s="301"/>
    </row>
    <row r="73" spans="1:19" s="411" customFormat="1" ht="50.25" customHeight="1">
      <c r="A73" s="412" t="s">
        <v>458</v>
      </c>
      <c r="B73" s="413" t="s">
        <v>477</v>
      </c>
      <c r="C73" s="409"/>
      <c r="D73" s="409"/>
      <c r="E73" s="409"/>
      <c r="F73" s="409"/>
      <c r="G73" s="409"/>
      <c r="H73" s="409"/>
      <c r="I73" s="409"/>
      <c r="J73" s="409"/>
      <c r="K73" s="409"/>
      <c r="L73" s="409"/>
      <c r="M73" s="409"/>
      <c r="N73" s="409"/>
      <c r="O73" s="409"/>
      <c r="P73" s="434">
        <f t="shared" si="0"/>
        <v>0</v>
      </c>
      <c r="Q73" s="409"/>
      <c r="R73" s="414"/>
      <c r="S73" s="299"/>
    </row>
    <row r="74" spans="1:19" ht="50.25" customHeight="1">
      <c r="A74" s="391">
        <v>1</v>
      </c>
      <c r="B74" s="394" t="s">
        <v>449</v>
      </c>
      <c r="C74" s="372"/>
      <c r="D74" s="372"/>
      <c r="E74" s="372"/>
      <c r="F74" s="372"/>
      <c r="G74" s="372"/>
      <c r="H74" s="372"/>
      <c r="I74" s="372"/>
      <c r="J74" s="372"/>
      <c r="K74" s="372"/>
      <c r="L74" s="372"/>
      <c r="M74" s="372"/>
      <c r="N74" s="372"/>
      <c r="O74" s="372"/>
      <c r="P74" s="434">
        <f t="shared" si="0"/>
        <v>2680</v>
      </c>
      <c r="Q74" s="372"/>
      <c r="R74" s="321">
        <v>2680</v>
      </c>
      <c r="S74" s="299"/>
    </row>
    <row r="75" spans="1:19" s="331" customFormat="1" ht="50.25" customHeight="1">
      <c r="A75" s="392" t="s">
        <v>14</v>
      </c>
      <c r="B75" s="395" t="s">
        <v>478</v>
      </c>
      <c r="C75" s="379"/>
      <c r="D75" s="379"/>
      <c r="E75" s="379"/>
      <c r="F75" s="379"/>
      <c r="G75" s="379"/>
      <c r="H75" s="379"/>
      <c r="I75" s="379"/>
      <c r="J75" s="379"/>
      <c r="K75" s="379"/>
      <c r="L75" s="379"/>
      <c r="M75" s="379"/>
      <c r="N75" s="379"/>
      <c r="O75" s="379"/>
      <c r="P75" s="434">
        <f t="shared" si="0"/>
        <v>500</v>
      </c>
      <c r="Q75" s="379"/>
      <c r="R75" s="319">
        <f>R78</f>
        <v>0</v>
      </c>
      <c r="S75" s="300">
        <f>S78</f>
        <v>500</v>
      </c>
    </row>
    <row r="76" spans="1:19" ht="50.25" customHeight="1">
      <c r="A76" s="391" t="s">
        <v>428</v>
      </c>
      <c r="B76" s="394" t="s">
        <v>479</v>
      </c>
      <c r="C76" s="372"/>
      <c r="D76" s="372"/>
      <c r="E76" s="372"/>
      <c r="F76" s="372"/>
      <c r="G76" s="372"/>
      <c r="H76" s="372"/>
      <c r="I76" s="372"/>
      <c r="J76" s="372"/>
      <c r="K76" s="372"/>
      <c r="L76" s="372"/>
      <c r="M76" s="372"/>
      <c r="N76" s="372"/>
      <c r="O76" s="372"/>
      <c r="P76" s="434">
        <f t="shared" si="0"/>
        <v>0</v>
      </c>
      <c r="Q76" s="372"/>
      <c r="R76" s="319"/>
      <c r="S76" s="300"/>
    </row>
    <row r="77" spans="1:19" ht="50.25" customHeight="1">
      <c r="A77" s="391">
        <v>1</v>
      </c>
      <c r="B77" s="394" t="s">
        <v>480</v>
      </c>
      <c r="C77" s="372"/>
      <c r="D77" s="372"/>
      <c r="E77" s="372"/>
      <c r="F77" s="372"/>
      <c r="G77" s="372"/>
      <c r="H77" s="372"/>
      <c r="I77" s="372"/>
      <c r="J77" s="372"/>
      <c r="K77" s="372"/>
      <c r="L77" s="372"/>
      <c r="M77" s="372"/>
      <c r="N77" s="372"/>
      <c r="O77" s="372"/>
      <c r="P77" s="434">
        <f t="shared" si="0"/>
        <v>0</v>
      </c>
      <c r="Q77" s="372"/>
      <c r="R77" s="319"/>
      <c r="S77" s="300"/>
    </row>
    <row r="78" spans="1:19" ht="50.25" customHeight="1">
      <c r="A78" s="391" t="s">
        <v>458</v>
      </c>
      <c r="B78" s="394" t="s">
        <v>464</v>
      </c>
      <c r="C78" s="372"/>
      <c r="D78" s="372"/>
      <c r="E78" s="372"/>
      <c r="F78" s="372"/>
      <c r="G78" s="372"/>
      <c r="H78" s="372"/>
      <c r="I78" s="372"/>
      <c r="J78" s="372"/>
      <c r="K78" s="372"/>
      <c r="L78" s="372"/>
      <c r="M78" s="372"/>
      <c r="N78" s="372"/>
      <c r="O78" s="372"/>
      <c r="P78" s="434">
        <f t="shared" si="0"/>
        <v>500</v>
      </c>
      <c r="Q78" s="372"/>
      <c r="R78" s="319">
        <f>R79</f>
        <v>0</v>
      </c>
      <c r="S78" s="300">
        <f>S79</f>
        <v>500</v>
      </c>
    </row>
    <row r="79" spans="1:19" ht="50.25" customHeight="1">
      <c r="A79" s="388">
        <v>1</v>
      </c>
      <c r="B79" s="396" t="s">
        <v>425</v>
      </c>
      <c r="C79" s="353"/>
      <c r="D79" s="353"/>
      <c r="E79" s="353"/>
      <c r="F79" s="353"/>
      <c r="G79" s="353"/>
      <c r="H79" s="353"/>
      <c r="I79" s="353"/>
      <c r="J79" s="353"/>
      <c r="K79" s="353"/>
      <c r="L79" s="353"/>
      <c r="M79" s="353"/>
      <c r="N79" s="353"/>
      <c r="O79" s="353"/>
      <c r="P79" s="434">
        <f t="shared" si="0"/>
        <v>500</v>
      </c>
      <c r="Q79" s="353"/>
      <c r="R79" s="321"/>
      <c r="S79" s="299">
        <v>500</v>
      </c>
    </row>
    <row r="80" spans="1:19" s="331" customFormat="1" ht="50.25" customHeight="1">
      <c r="A80" s="344" t="s">
        <v>17</v>
      </c>
      <c r="B80" s="397" t="s">
        <v>481</v>
      </c>
      <c r="C80" s="345"/>
      <c r="D80" s="345"/>
      <c r="E80" s="345"/>
      <c r="F80" s="345"/>
      <c r="G80" s="345"/>
      <c r="H80" s="345"/>
      <c r="I80" s="345"/>
      <c r="J80" s="345"/>
      <c r="K80" s="345"/>
      <c r="L80" s="345"/>
      <c r="M80" s="345"/>
      <c r="N80" s="345"/>
      <c r="O80" s="345"/>
      <c r="P80" s="434">
        <f t="shared" si="0"/>
        <v>23688</v>
      </c>
      <c r="Q80" s="345"/>
      <c r="R80" s="319">
        <f>R82+R86+R93+R100+R105+R110+R117+R124+R131+R136+R141+R146+R152</f>
        <v>23688</v>
      </c>
      <c r="S80" s="300">
        <f>S82+S86+S93+S100+S105+S110+S117+S124+S131+S136+S141+S146+S152</f>
        <v>0</v>
      </c>
    </row>
    <row r="81" spans="1:19" ht="50.25" customHeight="1">
      <c r="A81" s="393">
        <v>1</v>
      </c>
      <c r="B81" s="398" t="s">
        <v>482</v>
      </c>
      <c r="C81" s="358"/>
      <c r="D81" s="315"/>
      <c r="E81" s="315"/>
      <c r="F81" s="315"/>
      <c r="G81" s="315"/>
      <c r="H81" s="315"/>
      <c r="I81" s="315"/>
      <c r="J81" s="315"/>
      <c r="K81" s="315"/>
      <c r="L81" s="315"/>
      <c r="M81" s="315"/>
      <c r="N81" s="315"/>
      <c r="O81" s="315"/>
      <c r="P81" s="434">
        <f t="shared" si="0"/>
        <v>3000</v>
      </c>
      <c r="Q81" s="315"/>
      <c r="R81" s="319">
        <f>R82+R84</f>
        <v>3000</v>
      </c>
      <c r="S81" s="300">
        <f>S82+S84</f>
        <v>0</v>
      </c>
    </row>
    <row r="82" spans="1:19" s="411" customFormat="1" ht="50.25" customHeight="1">
      <c r="A82" s="415" t="s">
        <v>428</v>
      </c>
      <c r="B82" s="416" t="s">
        <v>429</v>
      </c>
      <c r="C82" s="428"/>
      <c r="D82" s="428"/>
      <c r="E82" s="428"/>
      <c r="F82" s="428"/>
      <c r="G82" s="428"/>
      <c r="H82" s="428"/>
      <c r="I82" s="428"/>
      <c r="J82" s="428"/>
      <c r="K82" s="428"/>
      <c r="L82" s="428"/>
      <c r="M82" s="428"/>
      <c r="N82" s="428"/>
      <c r="O82" s="428"/>
      <c r="P82" s="434">
        <f t="shared" si="0"/>
        <v>2200</v>
      </c>
      <c r="Q82" s="428"/>
      <c r="R82" s="414">
        <f>R83</f>
        <v>2200</v>
      </c>
      <c r="S82" s="300">
        <f>S83</f>
        <v>0</v>
      </c>
    </row>
    <row r="83" spans="1:19" ht="50.25" customHeight="1">
      <c r="A83" s="389">
        <v>1</v>
      </c>
      <c r="B83" s="396" t="s">
        <v>483</v>
      </c>
      <c r="C83" s="358"/>
      <c r="D83" s="364"/>
      <c r="E83" s="364"/>
      <c r="F83" s="364"/>
      <c r="G83" s="364"/>
      <c r="H83" s="353"/>
      <c r="I83" s="353"/>
      <c r="J83" s="353"/>
      <c r="K83" s="353"/>
      <c r="L83" s="353"/>
      <c r="M83" s="353"/>
      <c r="N83" s="353"/>
      <c r="O83" s="353"/>
      <c r="P83" s="434">
        <f aca="true" t="shared" si="1" ref="P83:P146">SUM(Q83:S83)</f>
        <v>2200</v>
      </c>
      <c r="Q83" s="362"/>
      <c r="R83" s="321">
        <v>2200</v>
      </c>
      <c r="S83" s="299"/>
    </row>
    <row r="84" spans="1:19" s="411" customFormat="1" ht="50.25" customHeight="1">
      <c r="A84" s="429" t="s">
        <v>458</v>
      </c>
      <c r="B84" s="419" t="s">
        <v>477</v>
      </c>
      <c r="C84" s="430"/>
      <c r="D84" s="431"/>
      <c r="E84" s="431"/>
      <c r="F84" s="431"/>
      <c r="G84" s="431"/>
      <c r="H84" s="428"/>
      <c r="I84" s="428"/>
      <c r="J84" s="428"/>
      <c r="K84" s="428"/>
      <c r="L84" s="428"/>
      <c r="M84" s="428"/>
      <c r="N84" s="428"/>
      <c r="O84" s="428"/>
      <c r="P84" s="434">
        <f t="shared" si="1"/>
        <v>800</v>
      </c>
      <c r="Q84" s="432"/>
      <c r="R84" s="433">
        <f>R85</f>
        <v>800</v>
      </c>
      <c r="S84" s="298">
        <f>S85</f>
        <v>0</v>
      </c>
    </row>
    <row r="85" spans="1:19" s="331" customFormat="1" ht="50.25" customHeight="1">
      <c r="A85" s="426">
        <v>1</v>
      </c>
      <c r="B85" s="427" t="s">
        <v>484</v>
      </c>
      <c r="C85" s="317"/>
      <c r="D85" s="318"/>
      <c r="E85" s="318"/>
      <c r="F85" s="318"/>
      <c r="G85" s="318"/>
      <c r="H85" s="318"/>
      <c r="I85" s="318"/>
      <c r="J85" s="318"/>
      <c r="K85" s="318"/>
      <c r="L85" s="318"/>
      <c r="M85" s="318"/>
      <c r="N85" s="318"/>
      <c r="O85" s="318"/>
      <c r="P85" s="434">
        <f t="shared" si="1"/>
        <v>800</v>
      </c>
      <c r="Q85" s="318"/>
      <c r="R85" s="321">
        <v>800</v>
      </c>
      <c r="S85" s="299"/>
    </row>
    <row r="86" spans="1:19" s="331" customFormat="1" ht="50.25" customHeight="1">
      <c r="A86" s="415">
        <v>2</v>
      </c>
      <c r="B86" s="416" t="s">
        <v>485</v>
      </c>
      <c r="C86" s="317"/>
      <c r="D86" s="318"/>
      <c r="E86" s="318"/>
      <c r="F86" s="318"/>
      <c r="G86" s="318"/>
      <c r="H86" s="318"/>
      <c r="I86" s="318"/>
      <c r="J86" s="318"/>
      <c r="K86" s="318"/>
      <c r="L86" s="318"/>
      <c r="M86" s="318"/>
      <c r="N86" s="318"/>
      <c r="O86" s="318"/>
      <c r="P86" s="434">
        <f t="shared" si="1"/>
        <v>1900</v>
      </c>
      <c r="Q86" s="318"/>
      <c r="R86" s="319">
        <f>R87+R89+R91</f>
        <v>1900</v>
      </c>
      <c r="S86" s="300">
        <f>S87+S89+S91</f>
        <v>0</v>
      </c>
    </row>
    <row r="87" spans="1:19" s="411" customFormat="1" ht="50.25" customHeight="1">
      <c r="A87" s="418" t="s">
        <v>428</v>
      </c>
      <c r="B87" s="419" t="s">
        <v>429</v>
      </c>
      <c r="C87" s="420"/>
      <c r="D87" s="420"/>
      <c r="E87" s="420"/>
      <c r="F87" s="420"/>
      <c r="G87" s="420"/>
      <c r="H87" s="420"/>
      <c r="I87" s="420"/>
      <c r="J87" s="420"/>
      <c r="K87" s="420"/>
      <c r="L87" s="420"/>
      <c r="M87" s="420"/>
      <c r="N87" s="420"/>
      <c r="O87" s="420"/>
      <c r="P87" s="434">
        <f t="shared" si="1"/>
        <v>1000</v>
      </c>
      <c r="Q87" s="421"/>
      <c r="R87" s="414">
        <f>R88</f>
        <v>1000</v>
      </c>
      <c r="S87" s="300">
        <f>S88</f>
        <v>0</v>
      </c>
    </row>
    <row r="88" spans="1:19" ht="50.25" customHeight="1">
      <c r="A88" s="352">
        <v>1</v>
      </c>
      <c r="B88" s="396" t="s">
        <v>486</v>
      </c>
      <c r="C88" s="315"/>
      <c r="D88" s="315"/>
      <c r="E88" s="315"/>
      <c r="F88" s="315"/>
      <c r="G88" s="315"/>
      <c r="H88" s="315"/>
      <c r="I88" s="315"/>
      <c r="J88" s="315"/>
      <c r="K88" s="315"/>
      <c r="L88" s="315"/>
      <c r="M88" s="315"/>
      <c r="N88" s="315"/>
      <c r="O88" s="315"/>
      <c r="P88" s="434">
        <f t="shared" si="1"/>
        <v>1000</v>
      </c>
      <c r="Q88" s="320"/>
      <c r="R88" s="321">
        <v>1000</v>
      </c>
      <c r="S88" s="299"/>
    </row>
    <row r="89" spans="1:19" s="411" customFormat="1" ht="50.25" customHeight="1">
      <c r="A89" s="418" t="s">
        <v>458</v>
      </c>
      <c r="B89" s="419" t="s">
        <v>477</v>
      </c>
      <c r="C89" s="422"/>
      <c r="D89" s="422"/>
      <c r="E89" s="422"/>
      <c r="F89" s="422"/>
      <c r="G89" s="422"/>
      <c r="H89" s="422"/>
      <c r="I89" s="422"/>
      <c r="J89" s="422"/>
      <c r="K89" s="422"/>
      <c r="L89" s="422"/>
      <c r="M89" s="422"/>
      <c r="N89" s="422"/>
      <c r="O89" s="422"/>
      <c r="P89" s="434">
        <f t="shared" si="1"/>
        <v>700</v>
      </c>
      <c r="Q89" s="423"/>
      <c r="R89" s="417">
        <f>R90</f>
        <v>700</v>
      </c>
      <c r="S89" s="302">
        <f>S90</f>
        <v>0</v>
      </c>
    </row>
    <row r="90" spans="1:19" ht="50.25" customHeight="1">
      <c r="A90" s="352">
        <v>1</v>
      </c>
      <c r="B90" s="396" t="s">
        <v>487</v>
      </c>
      <c r="C90" s="315"/>
      <c r="D90" s="315"/>
      <c r="E90" s="315"/>
      <c r="F90" s="315"/>
      <c r="G90" s="315"/>
      <c r="H90" s="315"/>
      <c r="I90" s="315"/>
      <c r="J90" s="315"/>
      <c r="K90" s="315"/>
      <c r="L90" s="315"/>
      <c r="M90" s="315"/>
      <c r="N90" s="315"/>
      <c r="O90" s="315"/>
      <c r="P90" s="434">
        <f t="shared" si="1"/>
        <v>700</v>
      </c>
      <c r="Q90" s="320"/>
      <c r="R90" s="321">
        <v>700</v>
      </c>
      <c r="S90" s="299"/>
    </row>
    <row r="91" spans="1:19" s="331" customFormat="1" ht="50.25" customHeight="1">
      <c r="A91" s="344" t="s">
        <v>488</v>
      </c>
      <c r="B91" s="397" t="s">
        <v>489</v>
      </c>
      <c r="C91" s="399"/>
      <c r="D91" s="399"/>
      <c r="E91" s="399"/>
      <c r="F91" s="399"/>
      <c r="G91" s="399"/>
      <c r="H91" s="399"/>
      <c r="I91" s="399"/>
      <c r="J91" s="399"/>
      <c r="K91" s="399"/>
      <c r="L91" s="399"/>
      <c r="M91" s="399"/>
      <c r="N91" s="399"/>
      <c r="O91" s="399"/>
      <c r="P91" s="434">
        <f t="shared" si="1"/>
        <v>200</v>
      </c>
      <c r="Q91" s="400"/>
      <c r="R91" s="319">
        <f>R92</f>
        <v>200</v>
      </c>
      <c r="S91" s="300">
        <f>S92</f>
        <v>0</v>
      </c>
    </row>
    <row r="92" spans="1:19" ht="50.25" customHeight="1">
      <c r="A92" s="352">
        <v>1</v>
      </c>
      <c r="B92" s="396" t="s">
        <v>490</v>
      </c>
      <c r="C92" s="315"/>
      <c r="D92" s="315"/>
      <c r="E92" s="315"/>
      <c r="F92" s="315"/>
      <c r="G92" s="315"/>
      <c r="H92" s="315"/>
      <c r="I92" s="315"/>
      <c r="J92" s="315"/>
      <c r="K92" s="315"/>
      <c r="L92" s="315"/>
      <c r="M92" s="315"/>
      <c r="N92" s="315"/>
      <c r="O92" s="315"/>
      <c r="P92" s="434">
        <f t="shared" si="1"/>
        <v>200</v>
      </c>
      <c r="Q92" s="320"/>
      <c r="R92" s="321">
        <v>200</v>
      </c>
      <c r="S92" s="299"/>
    </row>
    <row r="93" spans="1:19" s="331" customFormat="1" ht="50.25" customHeight="1">
      <c r="A93" s="344">
        <v>3</v>
      </c>
      <c r="B93" s="397" t="s">
        <v>491</v>
      </c>
      <c r="C93" s="399"/>
      <c r="D93" s="399"/>
      <c r="E93" s="399"/>
      <c r="F93" s="399"/>
      <c r="G93" s="399"/>
      <c r="H93" s="399"/>
      <c r="I93" s="399"/>
      <c r="J93" s="399"/>
      <c r="K93" s="399"/>
      <c r="L93" s="399"/>
      <c r="M93" s="399"/>
      <c r="N93" s="399"/>
      <c r="O93" s="399"/>
      <c r="P93" s="434">
        <f t="shared" si="1"/>
        <v>2151</v>
      </c>
      <c r="Q93" s="400"/>
      <c r="R93" s="319">
        <f>R94+R96+R98</f>
        <v>2151</v>
      </c>
      <c r="S93" s="300">
        <f>S94+S96+S98</f>
        <v>0</v>
      </c>
    </row>
    <row r="94" spans="1:19" s="411" customFormat="1" ht="50.25" customHeight="1">
      <c r="A94" s="418" t="s">
        <v>428</v>
      </c>
      <c r="B94" s="419" t="s">
        <v>429</v>
      </c>
      <c r="C94" s="422"/>
      <c r="D94" s="422"/>
      <c r="E94" s="422"/>
      <c r="F94" s="422"/>
      <c r="G94" s="422"/>
      <c r="H94" s="422"/>
      <c r="I94" s="422"/>
      <c r="J94" s="422"/>
      <c r="K94" s="422"/>
      <c r="L94" s="422"/>
      <c r="M94" s="422"/>
      <c r="N94" s="422"/>
      <c r="O94" s="422"/>
      <c r="P94" s="434">
        <f t="shared" si="1"/>
        <v>951</v>
      </c>
      <c r="Q94" s="423"/>
      <c r="R94" s="414">
        <f>R95</f>
        <v>951</v>
      </c>
      <c r="S94" s="300">
        <f>S95</f>
        <v>0</v>
      </c>
    </row>
    <row r="95" spans="1:19" ht="50.25" customHeight="1">
      <c r="A95" s="352">
        <v>1</v>
      </c>
      <c r="B95" s="396" t="s">
        <v>492</v>
      </c>
      <c r="C95" s="315"/>
      <c r="D95" s="315"/>
      <c r="E95" s="315"/>
      <c r="F95" s="315"/>
      <c r="G95" s="315"/>
      <c r="H95" s="315"/>
      <c r="I95" s="315"/>
      <c r="J95" s="315"/>
      <c r="K95" s="315"/>
      <c r="L95" s="315"/>
      <c r="M95" s="315"/>
      <c r="N95" s="315"/>
      <c r="O95" s="315"/>
      <c r="P95" s="434">
        <f t="shared" si="1"/>
        <v>951</v>
      </c>
      <c r="Q95" s="320"/>
      <c r="R95" s="321">
        <v>951</v>
      </c>
      <c r="S95" s="299"/>
    </row>
    <row r="96" spans="1:19" s="411" customFormat="1" ht="50.25" customHeight="1">
      <c r="A96" s="418" t="s">
        <v>458</v>
      </c>
      <c r="B96" s="419" t="s">
        <v>477</v>
      </c>
      <c r="C96" s="422"/>
      <c r="D96" s="422"/>
      <c r="E96" s="422"/>
      <c r="F96" s="422"/>
      <c r="G96" s="422"/>
      <c r="H96" s="422"/>
      <c r="I96" s="422"/>
      <c r="J96" s="422"/>
      <c r="K96" s="422"/>
      <c r="L96" s="422"/>
      <c r="M96" s="422"/>
      <c r="N96" s="422"/>
      <c r="O96" s="422"/>
      <c r="P96" s="434">
        <f t="shared" si="1"/>
        <v>1000</v>
      </c>
      <c r="Q96" s="423"/>
      <c r="R96" s="414">
        <f>R97</f>
        <v>1000</v>
      </c>
      <c r="S96" s="300">
        <f>S97</f>
        <v>0</v>
      </c>
    </row>
    <row r="97" spans="1:19" ht="50.25" customHeight="1">
      <c r="A97" s="352">
        <v>1</v>
      </c>
      <c r="B97" s="396" t="s">
        <v>493</v>
      </c>
      <c r="C97" s="315"/>
      <c r="D97" s="315"/>
      <c r="E97" s="315"/>
      <c r="F97" s="315"/>
      <c r="G97" s="315"/>
      <c r="H97" s="315"/>
      <c r="I97" s="315"/>
      <c r="J97" s="315"/>
      <c r="K97" s="315"/>
      <c r="L97" s="315"/>
      <c r="M97" s="315"/>
      <c r="N97" s="315"/>
      <c r="O97" s="315"/>
      <c r="P97" s="434">
        <f t="shared" si="1"/>
        <v>1000</v>
      </c>
      <c r="Q97" s="320"/>
      <c r="R97" s="321">
        <v>1000</v>
      </c>
      <c r="S97" s="299"/>
    </row>
    <row r="98" spans="1:19" s="331" customFormat="1" ht="50.25" customHeight="1">
      <c r="A98" s="344" t="s">
        <v>359</v>
      </c>
      <c r="B98" s="397" t="s">
        <v>494</v>
      </c>
      <c r="C98" s="399"/>
      <c r="D98" s="399"/>
      <c r="E98" s="399"/>
      <c r="F98" s="399"/>
      <c r="G98" s="399"/>
      <c r="H98" s="399"/>
      <c r="I98" s="399"/>
      <c r="J98" s="399"/>
      <c r="K98" s="399"/>
      <c r="L98" s="399"/>
      <c r="M98" s="399"/>
      <c r="N98" s="399"/>
      <c r="O98" s="399"/>
      <c r="P98" s="434">
        <f t="shared" si="1"/>
        <v>200</v>
      </c>
      <c r="Q98" s="400"/>
      <c r="R98" s="319">
        <f>R99</f>
        <v>200</v>
      </c>
      <c r="S98" s="300">
        <f>S99</f>
        <v>0</v>
      </c>
    </row>
    <row r="99" spans="1:19" ht="50.25" customHeight="1">
      <c r="A99" s="352">
        <v>1</v>
      </c>
      <c r="B99" s="396" t="s">
        <v>495</v>
      </c>
      <c r="C99" s="315"/>
      <c r="D99" s="315"/>
      <c r="E99" s="315"/>
      <c r="F99" s="315"/>
      <c r="G99" s="315"/>
      <c r="H99" s="315"/>
      <c r="I99" s="315"/>
      <c r="J99" s="315"/>
      <c r="K99" s="315"/>
      <c r="L99" s="315"/>
      <c r="M99" s="315"/>
      <c r="N99" s="315"/>
      <c r="O99" s="315"/>
      <c r="P99" s="434">
        <f t="shared" si="1"/>
        <v>200</v>
      </c>
      <c r="Q99" s="320"/>
      <c r="R99" s="321">
        <v>200</v>
      </c>
      <c r="S99" s="299"/>
    </row>
    <row r="100" spans="1:19" s="331" customFormat="1" ht="50.25" customHeight="1">
      <c r="A100" s="344">
        <v>4</v>
      </c>
      <c r="B100" s="397" t="s">
        <v>496</v>
      </c>
      <c r="C100" s="399"/>
      <c r="D100" s="399"/>
      <c r="E100" s="399"/>
      <c r="F100" s="399"/>
      <c r="G100" s="399"/>
      <c r="H100" s="399"/>
      <c r="I100" s="399"/>
      <c r="J100" s="399"/>
      <c r="K100" s="399"/>
      <c r="L100" s="399"/>
      <c r="M100" s="399"/>
      <c r="N100" s="399"/>
      <c r="O100" s="399"/>
      <c r="P100" s="434">
        <f t="shared" si="1"/>
        <v>1800</v>
      </c>
      <c r="Q100" s="400"/>
      <c r="R100" s="319">
        <f>R101+R103</f>
        <v>1800</v>
      </c>
      <c r="S100" s="300">
        <f>S101+S103</f>
        <v>0</v>
      </c>
    </row>
    <row r="101" spans="1:19" s="331" customFormat="1" ht="50.25" customHeight="1">
      <c r="A101" s="344" t="s">
        <v>428</v>
      </c>
      <c r="B101" s="397" t="s">
        <v>429</v>
      </c>
      <c r="C101" s="399"/>
      <c r="D101" s="399"/>
      <c r="E101" s="399"/>
      <c r="F101" s="399"/>
      <c r="G101" s="399"/>
      <c r="H101" s="399"/>
      <c r="I101" s="399"/>
      <c r="J101" s="399"/>
      <c r="K101" s="399"/>
      <c r="L101" s="399"/>
      <c r="M101" s="399"/>
      <c r="N101" s="399"/>
      <c r="O101" s="399"/>
      <c r="P101" s="434">
        <f t="shared" si="1"/>
        <v>800</v>
      </c>
      <c r="Q101" s="400"/>
      <c r="R101" s="319">
        <f>R102</f>
        <v>800</v>
      </c>
      <c r="S101" s="300">
        <f>S102</f>
        <v>0</v>
      </c>
    </row>
    <row r="102" spans="1:19" ht="50.25" customHeight="1">
      <c r="A102" s="352">
        <v>1</v>
      </c>
      <c r="B102" s="396" t="s">
        <v>497</v>
      </c>
      <c r="C102" s="315"/>
      <c r="D102" s="315"/>
      <c r="E102" s="315"/>
      <c r="F102" s="315"/>
      <c r="G102" s="315"/>
      <c r="H102" s="315"/>
      <c r="I102" s="315"/>
      <c r="J102" s="315"/>
      <c r="K102" s="315"/>
      <c r="L102" s="315"/>
      <c r="M102" s="315"/>
      <c r="N102" s="315"/>
      <c r="O102" s="315"/>
      <c r="P102" s="434">
        <f t="shared" si="1"/>
        <v>800</v>
      </c>
      <c r="Q102" s="320"/>
      <c r="R102" s="321">
        <v>800</v>
      </c>
      <c r="S102" s="299"/>
    </row>
    <row r="103" spans="1:19" s="331" customFormat="1" ht="50.25" customHeight="1">
      <c r="A103" s="344" t="s">
        <v>458</v>
      </c>
      <c r="B103" s="397" t="s">
        <v>477</v>
      </c>
      <c r="C103" s="399"/>
      <c r="D103" s="399"/>
      <c r="E103" s="399"/>
      <c r="F103" s="399"/>
      <c r="G103" s="399"/>
      <c r="H103" s="399"/>
      <c r="I103" s="399"/>
      <c r="J103" s="399"/>
      <c r="K103" s="399"/>
      <c r="L103" s="399"/>
      <c r="M103" s="399"/>
      <c r="N103" s="399"/>
      <c r="O103" s="399"/>
      <c r="P103" s="434">
        <f t="shared" si="1"/>
        <v>1000</v>
      </c>
      <c r="Q103" s="400"/>
      <c r="R103" s="322">
        <f>R104</f>
        <v>1000</v>
      </c>
      <c r="S103" s="302">
        <f>S104</f>
        <v>0</v>
      </c>
    </row>
    <row r="104" spans="1:19" ht="50.25" customHeight="1">
      <c r="A104" s="352">
        <v>1</v>
      </c>
      <c r="B104" s="396" t="s">
        <v>498</v>
      </c>
      <c r="C104" s="315"/>
      <c r="D104" s="315"/>
      <c r="E104" s="315"/>
      <c r="F104" s="315"/>
      <c r="G104" s="315"/>
      <c r="H104" s="315"/>
      <c r="I104" s="315"/>
      <c r="J104" s="315"/>
      <c r="K104" s="315"/>
      <c r="L104" s="315"/>
      <c r="M104" s="315"/>
      <c r="N104" s="315"/>
      <c r="O104" s="315"/>
      <c r="P104" s="434">
        <f t="shared" si="1"/>
        <v>1000</v>
      </c>
      <c r="Q104" s="320"/>
      <c r="R104" s="321">
        <v>1000</v>
      </c>
      <c r="S104" s="299"/>
    </row>
    <row r="105" spans="1:19" s="331" customFormat="1" ht="50.25" customHeight="1">
      <c r="A105" s="344" t="s">
        <v>499</v>
      </c>
      <c r="B105" s="397" t="s">
        <v>500</v>
      </c>
      <c r="C105" s="399"/>
      <c r="D105" s="399"/>
      <c r="E105" s="399"/>
      <c r="F105" s="399"/>
      <c r="G105" s="399"/>
      <c r="H105" s="399"/>
      <c r="I105" s="399"/>
      <c r="J105" s="399"/>
      <c r="K105" s="399"/>
      <c r="L105" s="399"/>
      <c r="M105" s="399"/>
      <c r="N105" s="399"/>
      <c r="O105" s="399"/>
      <c r="P105" s="434">
        <f t="shared" si="1"/>
        <v>1076</v>
      </c>
      <c r="Q105" s="400"/>
      <c r="R105" s="319">
        <f>R106+R108</f>
        <v>1076</v>
      </c>
      <c r="S105" s="300">
        <f>S106+S108</f>
        <v>0</v>
      </c>
    </row>
    <row r="106" spans="1:19" s="331" customFormat="1" ht="50.25" customHeight="1">
      <c r="A106" s="344" t="s">
        <v>428</v>
      </c>
      <c r="B106" s="397" t="s">
        <v>429</v>
      </c>
      <c r="C106" s="399"/>
      <c r="D106" s="399"/>
      <c r="E106" s="399"/>
      <c r="F106" s="399"/>
      <c r="G106" s="399"/>
      <c r="H106" s="399"/>
      <c r="I106" s="399"/>
      <c r="J106" s="399"/>
      <c r="K106" s="399"/>
      <c r="L106" s="399"/>
      <c r="M106" s="399"/>
      <c r="N106" s="399"/>
      <c r="O106" s="399"/>
      <c r="P106" s="434">
        <f t="shared" si="1"/>
        <v>576</v>
      </c>
      <c r="Q106" s="400"/>
      <c r="R106" s="319">
        <f>R107</f>
        <v>576</v>
      </c>
      <c r="S106" s="300">
        <f>S107</f>
        <v>0</v>
      </c>
    </row>
    <row r="107" spans="1:19" ht="50.25" customHeight="1">
      <c r="A107" s="352" t="s">
        <v>207</v>
      </c>
      <c r="B107" s="396" t="s">
        <v>501</v>
      </c>
      <c r="C107" s="315"/>
      <c r="D107" s="315"/>
      <c r="E107" s="315"/>
      <c r="F107" s="315"/>
      <c r="G107" s="315"/>
      <c r="H107" s="315"/>
      <c r="I107" s="315"/>
      <c r="J107" s="315"/>
      <c r="K107" s="315"/>
      <c r="L107" s="315"/>
      <c r="M107" s="315"/>
      <c r="N107" s="315"/>
      <c r="O107" s="315"/>
      <c r="P107" s="434">
        <f t="shared" si="1"/>
        <v>576</v>
      </c>
      <c r="Q107" s="320"/>
      <c r="R107" s="321">
        <v>576</v>
      </c>
      <c r="S107" s="299"/>
    </row>
    <row r="108" spans="1:19" s="331" customFormat="1" ht="50.25" customHeight="1">
      <c r="A108" s="344" t="s">
        <v>458</v>
      </c>
      <c r="B108" s="397" t="s">
        <v>477</v>
      </c>
      <c r="C108" s="399"/>
      <c r="D108" s="399"/>
      <c r="E108" s="399"/>
      <c r="F108" s="399"/>
      <c r="G108" s="399"/>
      <c r="H108" s="399"/>
      <c r="I108" s="399"/>
      <c r="J108" s="399"/>
      <c r="K108" s="399"/>
      <c r="L108" s="399"/>
      <c r="M108" s="399"/>
      <c r="N108" s="399"/>
      <c r="O108" s="399"/>
      <c r="P108" s="434">
        <f t="shared" si="1"/>
        <v>500</v>
      </c>
      <c r="Q108" s="400"/>
      <c r="R108" s="319">
        <f>R109</f>
        <v>500</v>
      </c>
      <c r="S108" s="300">
        <f>S109</f>
        <v>0</v>
      </c>
    </row>
    <row r="109" spans="1:19" ht="50.25" customHeight="1">
      <c r="A109" s="352" t="s">
        <v>207</v>
      </c>
      <c r="B109" s="396" t="s">
        <v>502</v>
      </c>
      <c r="C109" s="315"/>
      <c r="D109" s="315"/>
      <c r="E109" s="315"/>
      <c r="F109" s="315"/>
      <c r="G109" s="315"/>
      <c r="H109" s="315"/>
      <c r="I109" s="315"/>
      <c r="J109" s="315"/>
      <c r="K109" s="315"/>
      <c r="L109" s="315"/>
      <c r="M109" s="315"/>
      <c r="N109" s="315"/>
      <c r="O109" s="315"/>
      <c r="P109" s="434">
        <f t="shared" si="1"/>
        <v>500</v>
      </c>
      <c r="Q109" s="320"/>
      <c r="R109" s="321">
        <v>500</v>
      </c>
      <c r="S109" s="299"/>
    </row>
    <row r="110" spans="1:19" s="331" customFormat="1" ht="50.25" customHeight="1">
      <c r="A110" s="344" t="s">
        <v>503</v>
      </c>
      <c r="B110" s="397" t="s">
        <v>504</v>
      </c>
      <c r="C110" s="399"/>
      <c r="D110" s="399"/>
      <c r="E110" s="399"/>
      <c r="F110" s="399"/>
      <c r="G110" s="399"/>
      <c r="H110" s="399"/>
      <c r="I110" s="399"/>
      <c r="J110" s="399"/>
      <c r="K110" s="399"/>
      <c r="L110" s="399"/>
      <c r="M110" s="399"/>
      <c r="N110" s="399"/>
      <c r="O110" s="399"/>
      <c r="P110" s="434">
        <f t="shared" si="1"/>
        <v>1800</v>
      </c>
      <c r="Q110" s="400"/>
      <c r="R110" s="319">
        <f>R111+R113+R115</f>
        <v>1800</v>
      </c>
      <c r="S110" s="300">
        <f>S111+S113+S115</f>
        <v>0</v>
      </c>
    </row>
    <row r="111" spans="1:19" s="331" customFormat="1" ht="50.25" customHeight="1">
      <c r="A111" s="344" t="s">
        <v>428</v>
      </c>
      <c r="B111" s="397" t="s">
        <v>429</v>
      </c>
      <c r="C111" s="399"/>
      <c r="D111" s="399"/>
      <c r="E111" s="399"/>
      <c r="F111" s="399"/>
      <c r="G111" s="399"/>
      <c r="H111" s="399"/>
      <c r="I111" s="399"/>
      <c r="J111" s="399"/>
      <c r="K111" s="399"/>
      <c r="L111" s="399"/>
      <c r="M111" s="399"/>
      <c r="N111" s="399"/>
      <c r="O111" s="399"/>
      <c r="P111" s="434">
        <f t="shared" si="1"/>
        <v>800</v>
      </c>
      <c r="Q111" s="400"/>
      <c r="R111" s="319">
        <f>R112</f>
        <v>800</v>
      </c>
      <c r="S111" s="300">
        <f>S112</f>
        <v>0</v>
      </c>
    </row>
    <row r="112" spans="1:19" ht="50.25" customHeight="1">
      <c r="A112" s="352" t="s">
        <v>207</v>
      </c>
      <c r="B112" s="396" t="s">
        <v>505</v>
      </c>
      <c r="C112" s="315"/>
      <c r="D112" s="315"/>
      <c r="E112" s="315"/>
      <c r="F112" s="315"/>
      <c r="G112" s="315"/>
      <c r="H112" s="315"/>
      <c r="I112" s="315"/>
      <c r="J112" s="315"/>
      <c r="K112" s="315"/>
      <c r="L112" s="315"/>
      <c r="M112" s="315"/>
      <c r="N112" s="315"/>
      <c r="O112" s="315"/>
      <c r="P112" s="434">
        <f t="shared" si="1"/>
        <v>800</v>
      </c>
      <c r="Q112" s="320"/>
      <c r="R112" s="321">
        <v>800</v>
      </c>
      <c r="S112" s="299"/>
    </row>
    <row r="113" spans="1:19" s="331" customFormat="1" ht="50.25" customHeight="1">
      <c r="A113" s="344" t="s">
        <v>458</v>
      </c>
      <c r="B113" s="397" t="s">
        <v>477</v>
      </c>
      <c r="C113" s="399"/>
      <c r="D113" s="399"/>
      <c r="E113" s="399"/>
      <c r="F113" s="399"/>
      <c r="G113" s="399"/>
      <c r="H113" s="399"/>
      <c r="I113" s="399"/>
      <c r="J113" s="399"/>
      <c r="K113" s="399"/>
      <c r="L113" s="399"/>
      <c r="M113" s="399"/>
      <c r="N113" s="399"/>
      <c r="O113" s="399"/>
      <c r="P113" s="434">
        <f t="shared" si="1"/>
        <v>800</v>
      </c>
      <c r="Q113" s="400"/>
      <c r="R113" s="319">
        <f>R114</f>
        <v>800</v>
      </c>
      <c r="S113" s="300">
        <f>S114</f>
        <v>0</v>
      </c>
    </row>
    <row r="114" spans="1:19" ht="50.25" customHeight="1">
      <c r="A114" s="352" t="s">
        <v>207</v>
      </c>
      <c r="B114" s="396" t="s">
        <v>506</v>
      </c>
      <c r="C114" s="315"/>
      <c r="D114" s="315"/>
      <c r="E114" s="315"/>
      <c r="F114" s="315"/>
      <c r="G114" s="315"/>
      <c r="H114" s="315"/>
      <c r="I114" s="315"/>
      <c r="J114" s="315"/>
      <c r="K114" s="315"/>
      <c r="L114" s="315"/>
      <c r="M114" s="315"/>
      <c r="N114" s="315"/>
      <c r="O114" s="315"/>
      <c r="P114" s="434">
        <f t="shared" si="1"/>
        <v>800</v>
      </c>
      <c r="Q114" s="320"/>
      <c r="R114" s="321">
        <v>800</v>
      </c>
      <c r="S114" s="299"/>
    </row>
    <row r="115" spans="1:19" s="331" customFormat="1" ht="50.25" customHeight="1">
      <c r="A115" s="344" t="s">
        <v>359</v>
      </c>
      <c r="B115" s="397" t="s">
        <v>494</v>
      </c>
      <c r="C115" s="399"/>
      <c r="D115" s="399"/>
      <c r="E115" s="399"/>
      <c r="F115" s="399"/>
      <c r="G115" s="399"/>
      <c r="H115" s="399"/>
      <c r="I115" s="399"/>
      <c r="J115" s="399"/>
      <c r="K115" s="399"/>
      <c r="L115" s="399"/>
      <c r="M115" s="399"/>
      <c r="N115" s="399"/>
      <c r="O115" s="399"/>
      <c r="P115" s="434">
        <f t="shared" si="1"/>
        <v>200</v>
      </c>
      <c r="Q115" s="400"/>
      <c r="R115" s="319">
        <f>R116</f>
        <v>200</v>
      </c>
      <c r="S115" s="300">
        <f>S116</f>
        <v>0</v>
      </c>
    </row>
    <row r="116" spans="1:19" ht="50.25" customHeight="1">
      <c r="A116" s="352">
        <v>1</v>
      </c>
      <c r="B116" s="396" t="s">
        <v>507</v>
      </c>
      <c r="C116" s="315"/>
      <c r="D116" s="315"/>
      <c r="E116" s="315"/>
      <c r="F116" s="315"/>
      <c r="G116" s="315"/>
      <c r="H116" s="315"/>
      <c r="I116" s="315"/>
      <c r="J116" s="315"/>
      <c r="K116" s="315"/>
      <c r="L116" s="315"/>
      <c r="M116" s="315"/>
      <c r="N116" s="315"/>
      <c r="O116" s="315"/>
      <c r="P116" s="434">
        <f t="shared" si="1"/>
        <v>200</v>
      </c>
      <c r="Q116" s="320"/>
      <c r="R116" s="321">
        <v>200</v>
      </c>
      <c r="S116" s="299"/>
    </row>
    <row r="117" spans="1:19" s="331" customFormat="1" ht="50.25" customHeight="1">
      <c r="A117" s="344">
        <v>7</v>
      </c>
      <c r="B117" s="397" t="s">
        <v>508</v>
      </c>
      <c r="C117" s="399"/>
      <c r="D117" s="399"/>
      <c r="E117" s="399"/>
      <c r="F117" s="399"/>
      <c r="G117" s="399"/>
      <c r="H117" s="399"/>
      <c r="I117" s="399"/>
      <c r="J117" s="399"/>
      <c r="K117" s="399"/>
      <c r="L117" s="399"/>
      <c r="M117" s="399"/>
      <c r="N117" s="399"/>
      <c r="O117" s="399"/>
      <c r="P117" s="434">
        <f t="shared" si="1"/>
        <v>2506</v>
      </c>
      <c r="Q117" s="400"/>
      <c r="R117" s="319">
        <f>R118+R120+R122</f>
        <v>2506</v>
      </c>
      <c r="S117" s="300">
        <f>S118+S120+S122</f>
        <v>0</v>
      </c>
    </row>
    <row r="118" spans="1:19" ht="50.25" customHeight="1">
      <c r="A118" s="352" t="s">
        <v>428</v>
      </c>
      <c r="B118" s="396" t="s">
        <v>429</v>
      </c>
      <c r="C118" s="315"/>
      <c r="D118" s="315"/>
      <c r="E118" s="315"/>
      <c r="F118" s="315"/>
      <c r="G118" s="315"/>
      <c r="H118" s="315"/>
      <c r="I118" s="315"/>
      <c r="J118" s="315"/>
      <c r="K118" s="315"/>
      <c r="L118" s="315"/>
      <c r="M118" s="315"/>
      <c r="N118" s="315"/>
      <c r="O118" s="315"/>
      <c r="P118" s="434">
        <f t="shared" si="1"/>
        <v>1606</v>
      </c>
      <c r="Q118" s="320"/>
      <c r="R118" s="319">
        <f>R119</f>
        <v>1606</v>
      </c>
      <c r="S118" s="300">
        <f>S119</f>
        <v>0</v>
      </c>
    </row>
    <row r="119" spans="1:19" ht="50.25" customHeight="1">
      <c r="A119" s="352">
        <v>1</v>
      </c>
      <c r="B119" s="396" t="s">
        <v>509</v>
      </c>
      <c r="C119" s="315"/>
      <c r="D119" s="315"/>
      <c r="E119" s="315"/>
      <c r="F119" s="315"/>
      <c r="G119" s="315"/>
      <c r="H119" s="315"/>
      <c r="I119" s="315"/>
      <c r="J119" s="315"/>
      <c r="K119" s="315"/>
      <c r="L119" s="315"/>
      <c r="M119" s="315"/>
      <c r="N119" s="315"/>
      <c r="O119" s="315"/>
      <c r="P119" s="434">
        <f t="shared" si="1"/>
        <v>1606</v>
      </c>
      <c r="Q119" s="320"/>
      <c r="R119" s="321">
        <v>1606</v>
      </c>
      <c r="S119" s="299"/>
    </row>
    <row r="120" spans="1:19" s="331" customFormat="1" ht="50.25" customHeight="1">
      <c r="A120" s="344" t="s">
        <v>458</v>
      </c>
      <c r="B120" s="397" t="s">
        <v>477</v>
      </c>
      <c r="C120" s="399"/>
      <c r="D120" s="399"/>
      <c r="E120" s="399"/>
      <c r="F120" s="399"/>
      <c r="G120" s="399"/>
      <c r="H120" s="399"/>
      <c r="I120" s="399"/>
      <c r="J120" s="399"/>
      <c r="K120" s="399"/>
      <c r="L120" s="399"/>
      <c r="M120" s="399"/>
      <c r="N120" s="399"/>
      <c r="O120" s="399"/>
      <c r="P120" s="434">
        <f t="shared" si="1"/>
        <v>700</v>
      </c>
      <c r="Q120" s="400"/>
      <c r="R120" s="319">
        <f>R121</f>
        <v>700</v>
      </c>
      <c r="S120" s="300">
        <f>S121</f>
        <v>0</v>
      </c>
    </row>
    <row r="121" spans="1:19" ht="50.25" customHeight="1">
      <c r="A121" s="352">
        <v>1</v>
      </c>
      <c r="B121" s="396" t="s">
        <v>510</v>
      </c>
      <c r="C121" s="315"/>
      <c r="D121" s="315"/>
      <c r="E121" s="315"/>
      <c r="F121" s="315"/>
      <c r="G121" s="315"/>
      <c r="H121" s="315"/>
      <c r="I121" s="315"/>
      <c r="J121" s="315"/>
      <c r="K121" s="315"/>
      <c r="L121" s="315"/>
      <c r="M121" s="315"/>
      <c r="N121" s="315"/>
      <c r="O121" s="315"/>
      <c r="P121" s="434">
        <f t="shared" si="1"/>
        <v>700</v>
      </c>
      <c r="Q121" s="320"/>
      <c r="R121" s="321">
        <v>700</v>
      </c>
      <c r="S121" s="299"/>
    </row>
    <row r="122" spans="1:19" s="331" customFormat="1" ht="50.25" customHeight="1">
      <c r="A122" s="344" t="s">
        <v>488</v>
      </c>
      <c r="B122" s="397" t="s">
        <v>489</v>
      </c>
      <c r="C122" s="399"/>
      <c r="D122" s="399"/>
      <c r="E122" s="399"/>
      <c r="F122" s="399"/>
      <c r="G122" s="399"/>
      <c r="H122" s="399"/>
      <c r="I122" s="399"/>
      <c r="J122" s="399"/>
      <c r="K122" s="399"/>
      <c r="L122" s="399"/>
      <c r="M122" s="399"/>
      <c r="N122" s="399"/>
      <c r="O122" s="399"/>
      <c r="P122" s="434">
        <f t="shared" si="1"/>
        <v>200</v>
      </c>
      <c r="Q122" s="400"/>
      <c r="R122" s="319">
        <f>R123</f>
        <v>200</v>
      </c>
      <c r="S122" s="300">
        <f>S123</f>
        <v>0</v>
      </c>
    </row>
    <row r="123" spans="1:19" ht="50.25" customHeight="1">
      <c r="A123" s="352" t="s">
        <v>207</v>
      </c>
      <c r="B123" s="396" t="s">
        <v>511</v>
      </c>
      <c r="C123" s="315"/>
      <c r="D123" s="315"/>
      <c r="E123" s="315"/>
      <c r="F123" s="315"/>
      <c r="G123" s="315"/>
      <c r="H123" s="315"/>
      <c r="I123" s="315"/>
      <c r="J123" s="315"/>
      <c r="K123" s="315"/>
      <c r="L123" s="315"/>
      <c r="M123" s="315"/>
      <c r="N123" s="315"/>
      <c r="O123" s="315"/>
      <c r="P123" s="434">
        <f t="shared" si="1"/>
        <v>200</v>
      </c>
      <c r="Q123" s="320"/>
      <c r="R123" s="321">
        <v>200</v>
      </c>
      <c r="S123" s="299"/>
    </row>
    <row r="124" spans="1:19" s="331" customFormat="1" ht="50.25" customHeight="1">
      <c r="A124" s="344" t="s">
        <v>512</v>
      </c>
      <c r="B124" s="397" t="s">
        <v>513</v>
      </c>
      <c r="C124" s="399"/>
      <c r="D124" s="399"/>
      <c r="E124" s="399"/>
      <c r="F124" s="399"/>
      <c r="G124" s="399"/>
      <c r="H124" s="399"/>
      <c r="I124" s="399"/>
      <c r="J124" s="399"/>
      <c r="K124" s="399"/>
      <c r="L124" s="399"/>
      <c r="M124" s="399"/>
      <c r="N124" s="399"/>
      <c r="O124" s="399"/>
      <c r="P124" s="434">
        <f t="shared" si="1"/>
        <v>3200</v>
      </c>
      <c r="Q124" s="400"/>
      <c r="R124" s="319">
        <f>R125+R127+R129</f>
        <v>3200</v>
      </c>
      <c r="S124" s="300">
        <f>S125+S127+S129</f>
        <v>0</v>
      </c>
    </row>
    <row r="125" spans="1:19" s="411" customFormat="1" ht="50.25" customHeight="1">
      <c r="A125" s="418" t="s">
        <v>428</v>
      </c>
      <c r="B125" s="419" t="s">
        <v>429</v>
      </c>
      <c r="C125" s="422"/>
      <c r="D125" s="422"/>
      <c r="E125" s="422"/>
      <c r="F125" s="422"/>
      <c r="G125" s="422"/>
      <c r="H125" s="422"/>
      <c r="I125" s="422"/>
      <c r="J125" s="422"/>
      <c r="K125" s="422"/>
      <c r="L125" s="422"/>
      <c r="M125" s="422"/>
      <c r="N125" s="422"/>
      <c r="O125" s="422"/>
      <c r="P125" s="434">
        <f t="shared" si="1"/>
        <v>2000</v>
      </c>
      <c r="Q125" s="423"/>
      <c r="R125" s="414">
        <f>R126</f>
        <v>2000</v>
      </c>
      <c r="S125" s="300">
        <f>S126</f>
        <v>0</v>
      </c>
    </row>
    <row r="126" spans="1:19" ht="50.25" customHeight="1">
      <c r="A126" s="352"/>
      <c r="B126" s="396" t="s">
        <v>514</v>
      </c>
      <c r="C126" s="315"/>
      <c r="D126" s="315"/>
      <c r="E126" s="315"/>
      <c r="F126" s="315"/>
      <c r="G126" s="315"/>
      <c r="H126" s="315"/>
      <c r="I126" s="315"/>
      <c r="J126" s="315"/>
      <c r="K126" s="315"/>
      <c r="L126" s="315"/>
      <c r="M126" s="315"/>
      <c r="N126" s="315"/>
      <c r="O126" s="315"/>
      <c r="P126" s="434">
        <f t="shared" si="1"/>
        <v>2000</v>
      </c>
      <c r="Q126" s="320"/>
      <c r="R126" s="321">
        <v>2000</v>
      </c>
      <c r="S126" s="299"/>
    </row>
    <row r="127" spans="1:19" s="331" customFormat="1" ht="50.25" customHeight="1">
      <c r="A127" s="344" t="s">
        <v>458</v>
      </c>
      <c r="B127" s="397" t="s">
        <v>477</v>
      </c>
      <c r="C127" s="399"/>
      <c r="D127" s="399"/>
      <c r="E127" s="399"/>
      <c r="F127" s="399"/>
      <c r="G127" s="399"/>
      <c r="H127" s="399"/>
      <c r="I127" s="399"/>
      <c r="J127" s="399"/>
      <c r="K127" s="399"/>
      <c r="L127" s="399"/>
      <c r="M127" s="399"/>
      <c r="N127" s="399"/>
      <c r="O127" s="399"/>
      <c r="P127" s="434">
        <f t="shared" si="1"/>
        <v>1000</v>
      </c>
      <c r="Q127" s="400"/>
      <c r="R127" s="319">
        <f>R128</f>
        <v>1000</v>
      </c>
      <c r="S127" s="300">
        <f>S128</f>
        <v>0</v>
      </c>
    </row>
    <row r="128" spans="1:19" ht="50.25" customHeight="1">
      <c r="A128" s="352"/>
      <c r="B128" s="396" t="s">
        <v>515</v>
      </c>
      <c r="C128" s="315"/>
      <c r="D128" s="315"/>
      <c r="E128" s="315"/>
      <c r="F128" s="315"/>
      <c r="G128" s="315"/>
      <c r="H128" s="315"/>
      <c r="I128" s="315"/>
      <c r="J128" s="315"/>
      <c r="K128" s="315"/>
      <c r="L128" s="315"/>
      <c r="M128" s="315"/>
      <c r="N128" s="315"/>
      <c r="O128" s="315"/>
      <c r="P128" s="434">
        <f t="shared" si="1"/>
        <v>1000</v>
      </c>
      <c r="Q128" s="320"/>
      <c r="R128" s="321">
        <v>1000</v>
      </c>
      <c r="S128" s="299"/>
    </row>
    <row r="129" spans="1:19" s="411" customFormat="1" ht="50.25" customHeight="1">
      <c r="A129" s="418" t="s">
        <v>488</v>
      </c>
      <c r="B129" s="419" t="s">
        <v>489</v>
      </c>
      <c r="C129" s="422"/>
      <c r="D129" s="422"/>
      <c r="E129" s="422"/>
      <c r="F129" s="422"/>
      <c r="G129" s="422"/>
      <c r="H129" s="422"/>
      <c r="I129" s="422"/>
      <c r="J129" s="422"/>
      <c r="K129" s="422"/>
      <c r="L129" s="422"/>
      <c r="M129" s="422"/>
      <c r="N129" s="422"/>
      <c r="O129" s="422"/>
      <c r="P129" s="434">
        <f t="shared" si="1"/>
        <v>200</v>
      </c>
      <c r="Q129" s="423"/>
      <c r="R129" s="414">
        <f>R130</f>
        <v>200</v>
      </c>
      <c r="S129" s="300">
        <f>S130</f>
        <v>0</v>
      </c>
    </row>
    <row r="130" spans="1:19" ht="50.25" customHeight="1">
      <c r="A130" s="352"/>
      <c r="B130" s="396" t="s">
        <v>516</v>
      </c>
      <c r="C130" s="315"/>
      <c r="D130" s="315"/>
      <c r="E130" s="315"/>
      <c r="F130" s="315"/>
      <c r="G130" s="315"/>
      <c r="H130" s="315"/>
      <c r="I130" s="315"/>
      <c r="J130" s="315"/>
      <c r="K130" s="315"/>
      <c r="L130" s="315"/>
      <c r="M130" s="315"/>
      <c r="N130" s="315"/>
      <c r="O130" s="315"/>
      <c r="P130" s="434">
        <f t="shared" si="1"/>
        <v>200</v>
      </c>
      <c r="Q130" s="320"/>
      <c r="R130" s="321">
        <v>200</v>
      </c>
      <c r="S130" s="299"/>
    </row>
    <row r="131" spans="1:19" s="331" customFormat="1" ht="50.25" customHeight="1">
      <c r="A131" s="344" t="s">
        <v>517</v>
      </c>
      <c r="B131" s="397" t="s">
        <v>352</v>
      </c>
      <c r="C131" s="399"/>
      <c r="D131" s="399"/>
      <c r="E131" s="399"/>
      <c r="F131" s="399"/>
      <c r="G131" s="399"/>
      <c r="H131" s="399"/>
      <c r="I131" s="399"/>
      <c r="J131" s="399"/>
      <c r="K131" s="399"/>
      <c r="L131" s="399"/>
      <c r="M131" s="399"/>
      <c r="N131" s="399"/>
      <c r="O131" s="399"/>
      <c r="P131" s="434">
        <f t="shared" si="1"/>
        <v>2058</v>
      </c>
      <c r="Q131" s="400"/>
      <c r="R131" s="319">
        <f>R132+R134</f>
        <v>2058</v>
      </c>
      <c r="S131" s="300">
        <f>S132+S134</f>
        <v>0</v>
      </c>
    </row>
    <row r="132" spans="1:19" s="331" customFormat="1" ht="50.25" customHeight="1">
      <c r="A132" s="344" t="s">
        <v>428</v>
      </c>
      <c r="B132" s="397" t="s">
        <v>429</v>
      </c>
      <c r="C132" s="399"/>
      <c r="D132" s="399"/>
      <c r="E132" s="399"/>
      <c r="F132" s="399"/>
      <c r="G132" s="399"/>
      <c r="H132" s="399"/>
      <c r="I132" s="399"/>
      <c r="J132" s="399"/>
      <c r="K132" s="399"/>
      <c r="L132" s="399"/>
      <c r="M132" s="399"/>
      <c r="N132" s="399"/>
      <c r="O132" s="399"/>
      <c r="P132" s="434">
        <f t="shared" si="1"/>
        <v>1058</v>
      </c>
      <c r="Q132" s="400"/>
      <c r="R132" s="319">
        <f>R133</f>
        <v>1058</v>
      </c>
      <c r="S132" s="300">
        <f>S133</f>
        <v>0</v>
      </c>
    </row>
    <row r="133" spans="1:19" ht="50.25" customHeight="1">
      <c r="A133" s="352" t="s">
        <v>207</v>
      </c>
      <c r="B133" s="396" t="s">
        <v>518</v>
      </c>
      <c r="C133" s="315"/>
      <c r="D133" s="315"/>
      <c r="E133" s="315"/>
      <c r="F133" s="315"/>
      <c r="G133" s="315"/>
      <c r="H133" s="315"/>
      <c r="I133" s="315"/>
      <c r="J133" s="315"/>
      <c r="K133" s="315"/>
      <c r="L133" s="315"/>
      <c r="M133" s="315"/>
      <c r="N133" s="315"/>
      <c r="O133" s="315"/>
      <c r="P133" s="434">
        <f t="shared" si="1"/>
        <v>1058</v>
      </c>
      <c r="Q133" s="320"/>
      <c r="R133" s="321">
        <v>1058</v>
      </c>
      <c r="S133" s="299"/>
    </row>
    <row r="134" spans="1:19" s="331" customFormat="1" ht="50.25" customHeight="1">
      <c r="A134" s="344" t="s">
        <v>458</v>
      </c>
      <c r="B134" s="397" t="s">
        <v>477</v>
      </c>
      <c r="C134" s="399"/>
      <c r="D134" s="399"/>
      <c r="E134" s="399"/>
      <c r="F134" s="399"/>
      <c r="G134" s="399"/>
      <c r="H134" s="399"/>
      <c r="I134" s="399"/>
      <c r="J134" s="399"/>
      <c r="K134" s="399"/>
      <c r="L134" s="399"/>
      <c r="M134" s="399"/>
      <c r="N134" s="399"/>
      <c r="O134" s="399"/>
      <c r="P134" s="434">
        <f t="shared" si="1"/>
        <v>1000</v>
      </c>
      <c r="Q134" s="400"/>
      <c r="R134" s="319">
        <f>R135</f>
        <v>1000</v>
      </c>
      <c r="S134" s="300">
        <f>S135</f>
        <v>0</v>
      </c>
    </row>
    <row r="135" spans="1:19" ht="50.25" customHeight="1">
      <c r="A135" s="352" t="s">
        <v>207</v>
      </c>
      <c r="B135" s="396" t="s">
        <v>519</v>
      </c>
      <c r="C135" s="315"/>
      <c r="D135" s="315"/>
      <c r="E135" s="315"/>
      <c r="F135" s="315"/>
      <c r="G135" s="315"/>
      <c r="H135" s="315"/>
      <c r="I135" s="315"/>
      <c r="J135" s="315"/>
      <c r="K135" s="315"/>
      <c r="L135" s="315"/>
      <c r="M135" s="315"/>
      <c r="N135" s="315"/>
      <c r="O135" s="315"/>
      <c r="P135" s="434">
        <f t="shared" si="1"/>
        <v>1000</v>
      </c>
      <c r="Q135" s="320"/>
      <c r="R135" s="321">
        <v>1000</v>
      </c>
      <c r="S135" s="299"/>
    </row>
    <row r="136" spans="1:19" s="331" customFormat="1" ht="50.25" customHeight="1">
      <c r="A136" s="344" t="s">
        <v>520</v>
      </c>
      <c r="B136" s="397" t="s">
        <v>521</v>
      </c>
      <c r="C136" s="399"/>
      <c r="D136" s="399"/>
      <c r="E136" s="399"/>
      <c r="F136" s="399"/>
      <c r="G136" s="399"/>
      <c r="H136" s="399"/>
      <c r="I136" s="399"/>
      <c r="J136" s="399"/>
      <c r="K136" s="399"/>
      <c r="L136" s="399"/>
      <c r="M136" s="399"/>
      <c r="N136" s="399"/>
      <c r="O136" s="399"/>
      <c r="P136" s="434">
        <f t="shared" si="1"/>
        <v>1843</v>
      </c>
      <c r="Q136" s="400"/>
      <c r="R136" s="319">
        <f>R137+R139</f>
        <v>1843</v>
      </c>
      <c r="S136" s="300">
        <f>S137+S139</f>
        <v>0</v>
      </c>
    </row>
    <row r="137" spans="1:19" s="411" customFormat="1" ht="50.25" customHeight="1">
      <c r="A137" s="418" t="s">
        <v>428</v>
      </c>
      <c r="B137" s="419" t="s">
        <v>429</v>
      </c>
      <c r="C137" s="422"/>
      <c r="D137" s="422"/>
      <c r="E137" s="422"/>
      <c r="F137" s="422"/>
      <c r="G137" s="422"/>
      <c r="H137" s="422"/>
      <c r="I137" s="422"/>
      <c r="J137" s="422"/>
      <c r="K137" s="422"/>
      <c r="L137" s="422"/>
      <c r="M137" s="422"/>
      <c r="N137" s="422"/>
      <c r="O137" s="422"/>
      <c r="P137" s="434">
        <f t="shared" si="1"/>
        <v>800</v>
      </c>
      <c r="Q137" s="423"/>
      <c r="R137" s="414">
        <f>R138</f>
        <v>800</v>
      </c>
      <c r="S137" s="300">
        <f>S138</f>
        <v>0</v>
      </c>
    </row>
    <row r="138" spans="1:19" ht="50.25" customHeight="1">
      <c r="A138" s="352" t="s">
        <v>207</v>
      </c>
      <c r="B138" s="396" t="s">
        <v>522</v>
      </c>
      <c r="C138" s="315"/>
      <c r="D138" s="315"/>
      <c r="E138" s="315"/>
      <c r="F138" s="315"/>
      <c r="G138" s="315"/>
      <c r="H138" s="315"/>
      <c r="I138" s="315"/>
      <c r="J138" s="315"/>
      <c r="K138" s="315"/>
      <c r="L138" s="315"/>
      <c r="M138" s="315"/>
      <c r="N138" s="315"/>
      <c r="O138" s="315"/>
      <c r="P138" s="434">
        <f t="shared" si="1"/>
        <v>800</v>
      </c>
      <c r="Q138" s="320"/>
      <c r="R138" s="321">
        <v>800</v>
      </c>
      <c r="S138" s="299"/>
    </row>
    <row r="139" spans="1:19" s="411" customFormat="1" ht="50.25" customHeight="1">
      <c r="A139" s="418" t="s">
        <v>458</v>
      </c>
      <c r="B139" s="419" t="s">
        <v>477</v>
      </c>
      <c r="C139" s="422"/>
      <c r="D139" s="422"/>
      <c r="E139" s="422"/>
      <c r="F139" s="422"/>
      <c r="G139" s="422"/>
      <c r="H139" s="422"/>
      <c r="I139" s="422"/>
      <c r="J139" s="422"/>
      <c r="K139" s="422"/>
      <c r="L139" s="422"/>
      <c r="M139" s="422"/>
      <c r="N139" s="422"/>
      <c r="O139" s="422"/>
      <c r="P139" s="434">
        <f t="shared" si="1"/>
        <v>1043</v>
      </c>
      <c r="Q139" s="423"/>
      <c r="R139" s="414">
        <f>R140</f>
        <v>1043</v>
      </c>
      <c r="S139" s="299">
        <f>S140</f>
        <v>0</v>
      </c>
    </row>
    <row r="140" spans="1:19" ht="50.25" customHeight="1">
      <c r="A140" s="352" t="s">
        <v>207</v>
      </c>
      <c r="B140" s="396" t="s">
        <v>523</v>
      </c>
      <c r="C140" s="315"/>
      <c r="D140" s="315"/>
      <c r="E140" s="315"/>
      <c r="F140" s="315"/>
      <c r="G140" s="315"/>
      <c r="H140" s="315"/>
      <c r="I140" s="315"/>
      <c r="J140" s="315"/>
      <c r="K140" s="315"/>
      <c r="L140" s="315"/>
      <c r="M140" s="315"/>
      <c r="N140" s="315"/>
      <c r="O140" s="315"/>
      <c r="P140" s="434">
        <f t="shared" si="1"/>
        <v>1043</v>
      </c>
      <c r="Q140" s="320"/>
      <c r="R140" s="321">
        <v>1043</v>
      </c>
      <c r="S140" s="299"/>
    </row>
    <row r="141" spans="1:19" s="331" customFormat="1" ht="50.25" customHeight="1">
      <c r="A141" s="344" t="s">
        <v>524</v>
      </c>
      <c r="B141" s="397" t="s">
        <v>525</v>
      </c>
      <c r="C141" s="399"/>
      <c r="D141" s="399"/>
      <c r="E141" s="399"/>
      <c r="F141" s="399"/>
      <c r="G141" s="399"/>
      <c r="H141" s="399"/>
      <c r="I141" s="399"/>
      <c r="J141" s="399"/>
      <c r="K141" s="399"/>
      <c r="L141" s="399"/>
      <c r="M141" s="399"/>
      <c r="N141" s="399"/>
      <c r="O141" s="399"/>
      <c r="P141" s="434">
        <f t="shared" si="1"/>
        <v>1800</v>
      </c>
      <c r="Q141" s="400"/>
      <c r="R141" s="319">
        <f>R142+R144</f>
        <v>1800</v>
      </c>
      <c r="S141" s="300">
        <f>S142+S144</f>
        <v>0</v>
      </c>
    </row>
    <row r="142" spans="1:19" s="411" customFormat="1" ht="50.25" customHeight="1">
      <c r="A142" s="418" t="s">
        <v>428</v>
      </c>
      <c r="B142" s="419" t="s">
        <v>429</v>
      </c>
      <c r="C142" s="422"/>
      <c r="D142" s="422"/>
      <c r="E142" s="422"/>
      <c r="F142" s="422"/>
      <c r="G142" s="422"/>
      <c r="H142" s="422"/>
      <c r="I142" s="422"/>
      <c r="J142" s="422"/>
      <c r="K142" s="422"/>
      <c r="L142" s="422"/>
      <c r="M142" s="422"/>
      <c r="N142" s="422"/>
      <c r="O142" s="422"/>
      <c r="P142" s="434">
        <f t="shared" si="1"/>
        <v>800</v>
      </c>
      <c r="Q142" s="423"/>
      <c r="R142" s="414">
        <f>R143</f>
        <v>800</v>
      </c>
      <c r="S142" s="300">
        <f>S143</f>
        <v>0</v>
      </c>
    </row>
    <row r="143" spans="1:19" ht="50.25" customHeight="1">
      <c r="A143" s="352" t="s">
        <v>207</v>
      </c>
      <c r="B143" s="396" t="s">
        <v>526</v>
      </c>
      <c r="C143" s="315"/>
      <c r="D143" s="315"/>
      <c r="E143" s="315"/>
      <c r="F143" s="315"/>
      <c r="G143" s="315"/>
      <c r="H143" s="315"/>
      <c r="I143" s="315"/>
      <c r="J143" s="315"/>
      <c r="K143" s="315"/>
      <c r="L143" s="315"/>
      <c r="M143" s="315"/>
      <c r="N143" s="315"/>
      <c r="O143" s="315"/>
      <c r="P143" s="434">
        <f t="shared" si="1"/>
        <v>800</v>
      </c>
      <c r="Q143" s="320"/>
      <c r="R143" s="321">
        <v>800</v>
      </c>
      <c r="S143" s="299"/>
    </row>
    <row r="144" spans="1:19" s="411" customFormat="1" ht="50.25" customHeight="1">
      <c r="A144" s="418" t="s">
        <v>458</v>
      </c>
      <c r="B144" s="419" t="s">
        <v>477</v>
      </c>
      <c r="C144" s="422"/>
      <c r="D144" s="422"/>
      <c r="E144" s="422"/>
      <c r="F144" s="422"/>
      <c r="G144" s="422"/>
      <c r="H144" s="422"/>
      <c r="I144" s="422"/>
      <c r="J144" s="422"/>
      <c r="K144" s="422"/>
      <c r="L144" s="422"/>
      <c r="M144" s="422"/>
      <c r="N144" s="422"/>
      <c r="O144" s="422"/>
      <c r="P144" s="434">
        <f t="shared" si="1"/>
        <v>1000</v>
      </c>
      <c r="Q144" s="423"/>
      <c r="R144" s="414">
        <f>R145</f>
        <v>1000</v>
      </c>
      <c r="S144" s="300">
        <f>S145</f>
        <v>0</v>
      </c>
    </row>
    <row r="145" spans="1:19" ht="50.25" customHeight="1">
      <c r="A145" s="352" t="s">
        <v>207</v>
      </c>
      <c r="B145" s="396" t="s">
        <v>527</v>
      </c>
      <c r="C145" s="315"/>
      <c r="D145" s="315"/>
      <c r="E145" s="315"/>
      <c r="F145" s="315"/>
      <c r="G145" s="315"/>
      <c r="H145" s="315"/>
      <c r="I145" s="315"/>
      <c r="J145" s="315"/>
      <c r="K145" s="315"/>
      <c r="L145" s="315"/>
      <c r="M145" s="315"/>
      <c r="N145" s="315"/>
      <c r="O145" s="315"/>
      <c r="P145" s="434">
        <f t="shared" si="1"/>
        <v>1000</v>
      </c>
      <c r="Q145" s="320"/>
      <c r="R145" s="321">
        <v>1000</v>
      </c>
      <c r="S145" s="299"/>
    </row>
    <row r="146" spans="1:19" s="331" customFormat="1" ht="50.25" customHeight="1">
      <c r="A146" s="344" t="s">
        <v>528</v>
      </c>
      <c r="B146" s="397" t="s">
        <v>529</v>
      </c>
      <c r="C146" s="399"/>
      <c r="D146" s="399"/>
      <c r="E146" s="399"/>
      <c r="F146" s="399"/>
      <c r="G146" s="399"/>
      <c r="H146" s="399"/>
      <c r="I146" s="399"/>
      <c r="J146" s="399"/>
      <c r="K146" s="399"/>
      <c r="L146" s="399"/>
      <c r="M146" s="399"/>
      <c r="N146" s="399"/>
      <c r="O146" s="399"/>
      <c r="P146" s="434">
        <f t="shared" si="1"/>
        <v>400</v>
      </c>
      <c r="Q146" s="400"/>
      <c r="R146" s="319">
        <f>R147+R150</f>
        <v>400</v>
      </c>
      <c r="S146" s="300">
        <f>S147+S150</f>
        <v>0</v>
      </c>
    </row>
    <row r="147" spans="1:19" s="411" customFormat="1" ht="50.25" customHeight="1">
      <c r="A147" s="418" t="s">
        <v>428</v>
      </c>
      <c r="B147" s="419" t="s">
        <v>429</v>
      </c>
      <c r="C147" s="422"/>
      <c r="D147" s="422"/>
      <c r="E147" s="422"/>
      <c r="F147" s="422"/>
      <c r="G147" s="422"/>
      <c r="H147" s="422"/>
      <c r="I147" s="422"/>
      <c r="J147" s="422"/>
      <c r="K147" s="422"/>
      <c r="L147" s="422"/>
      <c r="M147" s="422"/>
      <c r="N147" s="422"/>
      <c r="O147" s="422"/>
      <c r="P147" s="434">
        <f aca="true" t="shared" si="2" ref="P147:P201">SUM(Q147:S147)</f>
        <v>200</v>
      </c>
      <c r="Q147" s="423"/>
      <c r="R147" s="414">
        <f>R148+R149</f>
        <v>200</v>
      </c>
      <c r="S147" s="300">
        <f>S148+S149</f>
        <v>0</v>
      </c>
    </row>
    <row r="148" spans="1:19" ht="50.25" customHeight="1">
      <c r="A148" s="352" t="s">
        <v>207</v>
      </c>
      <c r="B148" s="396" t="s">
        <v>530</v>
      </c>
      <c r="C148" s="315"/>
      <c r="D148" s="315"/>
      <c r="E148" s="315"/>
      <c r="F148" s="315"/>
      <c r="G148" s="315"/>
      <c r="H148" s="315"/>
      <c r="I148" s="315"/>
      <c r="J148" s="315"/>
      <c r="K148" s="315"/>
      <c r="L148" s="315"/>
      <c r="M148" s="315"/>
      <c r="N148" s="315"/>
      <c r="O148" s="315"/>
      <c r="P148" s="434">
        <f t="shared" si="2"/>
        <v>0</v>
      </c>
      <c r="Q148" s="320"/>
      <c r="R148" s="321"/>
      <c r="S148" s="299"/>
    </row>
    <row r="149" spans="1:19" ht="50.25" customHeight="1">
      <c r="A149" s="352" t="s">
        <v>531</v>
      </c>
      <c r="B149" s="396" t="s">
        <v>532</v>
      </c>
      <c r="C149" s="315"/>
      <c r="D149" s="315"/>
      <c r="E149" s="315"/>
      <c r="F149" s="315"/>
      <c r="G149" s="315"/>
      <c r="H149" s="315"/>
      <c r="I149" s="315"/>
      <c r="J149" s="315"/>
      <c r="K149" s="315"/>
      <c r="L149" s="315"/>
      <c r="M149" s="315"/>
      <c r="N149" s="315"/>
      <c r="O149" s="315"/>
      <c r="P149" s="434">
        <f t="shared" si="2"/>
        <v>200</v>
      </c>
      <c r="Q149" s="320"/>
      <c r="R149" s="321">
        <v>200</v>
      </c>
      <c r="S149" s="299"/>
    </row>
    <row r="150" spans="1:19" s="411" customFormat="1" ht="50.25" customHeight="1">
      <c r="A150" s="418" t="s">
        <v>458</v>
      </c>
      <c r="B150" s="419" t="s">
        <v>477</v>
      </c>
      <c r="C150" s="422"/>
      <c r="D150" s="422"/>
      <c r="E150" s="422"/>
      <c r="F150" s="422"/>
      <c r="G150" s="422"/>
      <c r="H150" s="422"/>
      <c r="I150" s="422"/>
      <c r="J150" s="422"/>
      <c r="K150" s="422"/>
      <c r="L150" s="422"/>
      <c r="M150" s="422"/>
      <c r="N150" s="422"/>
      <c r="O150" s="422"/>
      <c r="P150" s="434">
        <f t="shared" si="2"/>
        <v>200</v>
      </c>
      <c r="Q150" s="423"/>
      <c r="R150" s="414">
        <f>R151</f>
        <v>200</v>
      </c>
      <c r="S150" s="300">
        <f>S151</f>
        <v>0</v>
      </c>
    </row>
    <row r="151" spans="1:19" ht="50.25" customHeight="1">
      <c r="A151" s="352"/>
      <c r="B151" s="396" t="s">
        <v>533</v>
      </c>
      <c r="C151" s="315"/>
      <c r="D151" s="315"/>
      <c r="E151" s="315"/>
      <c r="F151" s="315"/>
      <c r="G151" s="315"/>
      <c r="H151" s="315"/>
      <c r="I151" s="315"/>
      <c r="J151" s="315"/>
      <c r="K151" s="315"/>
      <c r="L151" s="315"/>
      <c r="M151" s="315"/>
      <c r="N151" s="315"/>
      <c r="O151" s="315"/>
      <c r="P151" s="434">
        <f t="shared" si="2"/>
        <v>200</v>
      </c>
      <c r="Q151" s="320"/>
      <c r="R151" s="321">
        <v>200</v>
      </c>
      <c r="S151" s="299"/>
    </row>
    <row r="152" spans="1:19" s="331" customFormat="1" ht="50.25" customHeight="1">
      <c r="A152" s="344" t="s">
        <v>534</v>
      </c>
      <c r="B152" s="397" t="s">
        <v>535</v>
      </c>
      <c r="C152" s="399"/>
      <c r="D152" s="399"/>
      <c r="E152" s="399"/>
      <c r="F152" s="399"/>
      <c r="G152" s="399"/>
      <c r="H152" s="399"/>
      <c r="I152" s="399"/>
      <c r="J152" s="399"/>
      <c r="K152" s="399"/>
      <c r="L152" s="399"/>
      <c r="M152" s="399"/>
      <c r="N152" s="399"/>
      <c r="O152" s="399"/>
      <c r="P152" s="434">
        <f t="shared" si="2"/>
        <v>954</v>
      </c>
      <c r="Q152" s="400"/>
      <c r="R152" s="319">
        <f>R153+R155</f>
        <v>954</v>
      </c>
      <c r="S152" s="300">
        <f>S153+S155</f>
        <v>0</v>
      </c>
    </row>
    <row r="153" spans="1:19" s="411" customFormat="1" ht="50.25" customHeight="1">
      <c r="A153" s="418" t="s">
        <v>428</v>
      </c>
      <c r="B153" s="419" t="s">
        <v>429</v>
      </c>
      <c r="C153" s="422"/>
      <c r="D153" s="422"/>
      <c r="E153" s="422"/>
      <c r="F153" s="422"/>
      <c r="G153" s="422"/>
      <c r="H153" s="422"/>
      <c r="I153" s="422"/>
      <c r="J153" s="422"/>
      <c r="K153" s="422"/>
      <c r="L153" s="422"/>
      <c r="M153" s="422"/>
      <c r="N153" s="422"/>
      <c r="O153" s="422"/>
      <c r="P153" s="434">
        <f t="shared" si="2"/>
        <v>414</v>
      </c>
      <c r="Q153" s="423"/>
      <c r="R153" s="414">
        <f>R154</f>
        <v>414</v>
      </c>
      <c r="S153" s="300">
        <f>S154</f>
        <v>0</v>
      </c>
    </row>
    <row r="154" spans="1:19" ht="50.25" customHeight="1">
      <c r="A154" s="352" t="s">
        <v>207</v>
      </c>
      <c r="B154" s="396" t="s">
        <v>536</v>
      </c>
      <c r="C154" s="315"/>
      <c r="D154" s="315"/>
      <c r="E154" s="315"/>
      <c r="F154" s="315"/>
      <c r="G154" s="315"/>
      <c r="H154" s="315"/>
      <c r="I154" s="315"/>
      <c r="J154" s="315"/>
      <c r="K154" s="315"/>
      <c r="L154" s="315"/>
      <c r="M154" s="315"/>
      <c r="N154" s="315"/>
      <c r="O154" s="315"/>
      <c r="P154" s="434">
        <f t="shared" si="2"/>
        <v>414</v>
      </c>
      <c r="Q154" s="320"/>
      <c r="R154" s="321">
        <v>414</v>
      </c>
      <c r="S154" s="299"/>
    </row>
    <row r="155" spans="1:19" s="411" customFormat="1" ht="50.25" customHeight="1">
      <c r="A155" s="418" t="s">
        <v>458</v>
      </c>
      <c r="B155" s="419" t="s">
        <v>477</v>
      </c>
      <c r="C155" s="422"/>
      <c r="D155" s="422"/>
      <c r="E155" s="422"/>
      <c r="F155" s="422"/>
      <c r="G155" s="422"/>
      <c r="H155" s="422"/>
      <c r="I155" s="422"/>
      <c r="J155" s="422"/>
      <c r="K155" s="422"/>
      <c r="L155" s="422"/>
      <c r="M155" s="422"/>
      <c r="N155" s="422"/>
      <c r="O155" s="422"/>
      <c r="P155" s="434">
        <f t="shared" si="2"/>
        <v>540</v>
      </c>
      <c r="Q155" s="423"/>
      <c r="R155" s="414">
        <f>R156</f>
        <v>540</v>
      </c>
      <c r="S155" s="300">
        <f>S156</f>
        <v>0</v>
      </c>
    </row>
    <row r="156" spans="1:19" ht="50.25" customHeight="1">
      <c r="A156" s="352">
        <v>1</v>
      </c>
      <c r="B156" s="396" t="s">
        <v>537</v>
      </c>
      <c r="C156" s="315"/>
      <c r="D156" s="315"/>
      <c r="E156" s="315"/>
      <c r="F156" s="315"/>
      <c r="G156" s="315"/>
      <c r="H156" s="315"/>
      <c r="I156" s="315"/>
      <c r="J156" s="315"/>
      <c r="K156" s="315"/>
      <c r="L156" s="315"/>
      <c r="M156" s="315"/>
      <c r="N156" s="315"/>
      <c r="O156" s="315"/>
      <c r="P156" s="434">
        <f t="shared" si="2"/>
        <v>540</v>
      </c>
      <c r="Q156" s="320"/>
      <c r="R156" s="321">
        <v>540</v>
      </c>
      <c r="S156" s="303"/>
    </row>
    <row r="157" spans="1:19" s="331" customFormat="1" ht="50.25" customHeight="1">
      <c r="A157" s="344" t="s">
        <v>359</v>
      </c>
      <c r="B157" s="397" t="s">
        <v>538</v>
      </c>
      <c r="C157" s="399"/>
      <c r="D157" s="399"/>
      <c r="E157" s="399"/>
      <c r="F157" s="399"/>
      <c r="G157" s="399"/>
      <c r="H157" s="399"/>
      <c r="I157" s="399"/>
      <c r="J157" s="399"/>
      <c r="K157" s="399"/>
      <c r="L157" s="399"/>
      <c r="M157" s="399"/>
      <c r="N157" s="399"/>
      <c r="O157" s="399"/>
      <c r="P157" s="434">
        <f t="shared" si="2"/>
        <v>1737</v>
      </c>
      <c r="Q157" s="400"/>
      <c r="R157" s="322">
        <f>R158</f>
        <v>1737</v>
      </c>
      <c r="S157" s="304">
        <f>S158</f>
        <v>0</v>
      </c>
    </row>
    <row r="158" spans="1:19" s="331" customFormat="1" ht="69" customHeight="1">
      <c r="A158" s="344" t="s">
        <v>428</v>
      </c>
      <c r="B158" s="397" t="s">
        <v>539</v>
      </c>
      <c r="C158" s="399"/>
      <c r="D158" s="399"/>
      <c r="E158" s="399"/>
      <c r="F158" s="399"/>
      <c r="G158" s="399"/>
      <c r="H158" s="399"/>
      <c r="I158" s="399"/>
      <c r="J158" s="399"/>
      <c r="K158" s="399"/>
      <c r="L158" s="399"/>
      <c r="M158" s="399"/>
      <c r="N158" s="399"/>
      <c r="O158" s="399"/>
      <c r="P158" s="434">
        <f t="shared" si="2"/>
        <v>1737</v>
      </c>
      <c r="Q158" s="400"/>
      <c r="R158" s="319">
        <f>R159</f>
        <v>1737</v>
      </c>
      <c r="S158" s="300">
        <f>S159</f>
        <v>0</v>
      </c>
    </row>
    <row r="159" spans="1:19" ht="50.25" customHeight="1">
      <c r="A159" s="352">
        <v>1</v>
      </c>
      <c r="B159" s="396" t="s">
        <v>540</v>
      </c>
      <c r="C159" s="315"/>
      <c r="D159" s="315"/>
      <c r="E159" s="315"/>
      <c r="F159" s="315"/>
      <c r="G159" s="315"/>
      <c r="H159" s="315"/>
      <c r="I159" s="315"/>
      <c r="J159" s="315"/>
      <c r="K159" s="315"/>
      <c r="L159" s="315"/>
      <c r="M159" s="315"/>
      <c r="N159" s="315"/>
      <c r="O159" s="315"/>
      <c r="P159" s="434">
        <f t="shared" si="2"/>
        <v>1737</v>
      </c>
      <c r="Q159" s="320"/>
      <c r="R159" s="321">
        <v>1737</v>
      </c>
      <c r="S159" s="299"/>
    </row>
    <row r="160" spans="1:19" s="331" customFormat="1" ht="50.25" customHeight="1">
      <c r="A160" s="344" t="s">
        <v>359</v>
      </c>
      <c r="B160" s="397" t="s">
        <v>541</v>
      </c>
      <c r="C160" s="399"/>
      <c r="D160" s="399"/>
      <c r="E160" s="399"/>
      <c r="F160" s="399"/>
      <c r="G160" s="399"/>
      <c r="H160" s="399"/>
      <c r="I160" s="399"/>
      <c r="J160" s="399"/>
      <c r="K160" s="399"/>
      <c r="L160" s="399"/>
      <c r="M160" s="399"/>
      <c r="N160" s="399"/>
      <c r="O160" s="399"/>
      <c r="P160" s="434">
        <f t="shared" si="2"/>
        <v>984</v>
      </c>
      <c r="Q160" s="400"/>
      <c r="R160" s="319">
        <f>R169+R170+R161</f>
        <v>984</v>
      </c>
      <c r="S160" s="300">
        <f>S169+S170+S161</f>
        <v>0</v>
      </c>
    </row>
    <row r="161" spans="1:19" s="331" customFormat="1" ht="50.25" customHeight="1">
      <c r="A161" s="344" t="s">
        <v>428</v>
      </c>
      <c r="B161" s="397" t="s">
        <v>542</v>
      </c>
      <c r="C161" s="399"/>
      <c r="D161" s="399"/>
      <c r="E161" s="399"/>
      <c r="F161" s="399"/>
      <c r="G161" s="399"/>
      <c r="H161" s="399"/>
      <c r="I161" s="399"/>
      <c r="J161" s="399"/>
      <c r="K161" s="399"/>
      <c r="L161" s="399"/>
      <c r="M161" s="399"/>
      <c r="N161" s="399"/>
      <c r="O161" s="399"/>
      <c r="P161" s="434">
        <f t="shared" si="2"/>
        <v>0</v>
      </c>
      <c r="Q161" s="400"/>
      <c r="R161" s="319"/>
      <c r="S161" s="300"/>
    </row>
    <row r="162" spans="1:19" s="331" customFormat="1" ht="50.25" customHeight="1">
      <c r="A162" s="344">
        <v>1</v>
      </c>
      <c r="B162" s="397" t="s">
        <v>543</v>
      </c>
      <c r="C162" s="399"/>
      <c r="D162" s="399"/>
      <c r="E162" s="399"/>
      <c r="F162" s="399"/>
      <c r="G162" s="399"/>
      <c r="H162" s="399"/>
      <c r="I162" s="399"/>
      <c r="J162" s="399"/>
      <c r="K162" s="399"/>
      <c r="L162" s="399"/>
      <c r="M162" s="399"/>
      <c r="N162" s="399"/>
      <c r="O162" s="399"/>
      <c r="P162" s="434">
        <f t="shared" si="2"/>
        <v>0</v>
      </c>
      <c r="Q162" s="400"/>
      <c r="R162" s="319"/>
      <c r="S162" s="300"/>
    </row>
    <row r="163" spans="1:19" ht="50.25" customHeight="1">
      <c r="A163" s="352"/>
      <c r="B163" s="396" t="s">
        <v>544</v>
      </c>
      <c r="C163" s="315"/>
      <c r="D163" s="315"/>
      <c r="E163" s="315"/>
      <c r="F163" s="315"/>
      <c r="G163" s="315"/>
      <c r="H163" s="315"/>
      <c r="I163" s="315"/>
      <c r="J163" s="315"/>
      <c r="K163" s="315"/>
      <c r="L163" s="315"/>
      <c r="M163" s="315"/>
      <c r="N163" s="315"/>
      <c r="O163" s="315"/>
      <c r="P163" s="434">
        <f t="shared" si="2"/>
        <v>0</v>
      </c>
      <c r="Q163" s="320"/>
      <c r="R163" s="319"/>
      <c r="S163" s="300"/>
    </row>
    <row r="164" spans="1:19" ht="50.25" customHeight="1">
      <c r="A164" s="352"/>
      <c r="B164" s="396" t="s">
        <v>545</v>
      </c>
      <c r="C164" s="315"/>
      <c r="D164" s="315"/>
      <c r="E164" s="315"/>
      <c r="F164" s="315"/>
      <c r="G164" s="315"/>
      <c r="H164" s="315"/>
      <c r="I164" s="315"/>
      <c r="J164" s="315"/>
      <c r="K164" s="315"/>
      <c r="L164" s="315"/>
      <c r="M164" s="315"/>
      <c r="N164" s="315"/>
      <c r="O164" s="315"/>
      <c r="P164" s="434">
        <f t="shared" si="2"/>
        <v>0</v>
      </c>
      <c r="Q164" s="320"/>
      <c r="R164" s="319"/>
      <c r="S164" s="300"/>
    </row>
    <row r="165" spans="1:19" ht="50.25" customHeight="1">
      <c r="A165" s="352"/>
      <c r="B165" s="396" t="s">
        <v>546</v>
      </c>
      <c r="C165" s="315"/>
      <c r="D165" s="315"/>
      <c r="E165" s="315"/>
      <c r="F165" s="315"/>
      <c r="G165" s="315"/>
      <c r="H165" s="315"/>
      <c r="I165" s="315"/>
      <c r="J165" s="315"/>
      <c r="K165" s="315"/>
      <c r="L165" s="315"/>
      <c r="M165" s="315"/>
      <c r="N165" s="315"/>
      <c r="O165" s="315"/>
      <c r="P165" s="434">
        <f t="shared" si="2"/>
        <v>0</v>
      </c>
      <c r="Q165" s="320"/>
      <c r="R165" s="319"/>
      <c r="S165" s="300"/>
    </row>
    <row r="166" spans="1:19" s="331" customFormat="1" ht="50.25" customHeight="1">
      <c r="A166" s="344" t="s">
        <v>458</v>
      </c>
      <c r="B166" s="397" t="s">
        <v>420</v>
      </c>
      <c r="C166" s="399"/>
      <c r="D166" s="399"/>
      <c r="E166" s="399"/>
      <c r="F166" s="399"/>
      <c r="G166" s="399"/>
      <c r="H166" s="399"/>
      <c r="I166" s="399"/>
      <c r="J166" s="399"/>
      <c r="K166" s="399"/>
      <c r="L166" s="399"/>
      <c r="M166" s="399"/>
      <c r="N166" s="399"/>
      <c r="O166" s="399"/>
      <c r="P166" s="434">
        <f t="shared" si="2"/>
        <v>984</v>
      </c>
      <c r="Q166" s="400"/>
      <c r="R166" s="319">
        <f>R169+R170</f>
        <v>984</v>
      </c>
      <c r="S166" s="300">
        <f>S169+S170</f>
        <v>0</v>
      </c>
    </row>
    <row r="167" spans="1:19" ht="50.25" customHeight="1">
      <c r="A167" s="352" t="s">
        <v>8</v>
      </c>
      <c r="B167" s="396" t="s">
        <v>543</v>
      </c>
      <c r="C167" s="315"/>
      <c r="D167" s="315"/>
      <c r="E167" s="315"/>
      <c r="F167" s="315"/>
      <c r="G167" s="315"/>
      <c r="H167" s="315"/>
      <c r="I167" s="315"/>
      <c r="J167" s="315"/>
      <c r="K167" s="315"/>
      <c r="L167" s="315"/>
      <c r="M167" s="315"/>
      <c r="N167" s="315"/>
      <c r="O167" s="315"/>
      <c r="P167" s="434">
        <f t="shared" si="2"/>
        <v>0</v>
      </c>
      <c r="Q167" s="320"/>
      <c r="R167" s="321"/>
      <c r="S167" s="299"/>
    </row>
    <row r="168" spans="1:19" ht="50.25" customHeight="1">
      <c r="A168" s="352"/>
      <c r="B168" s="396" t="s">
        <v>544</v>
      </c>
      <c r="C168" s="315"/>
      <c r="D168" s="315"/>
      <c r="E168" s="315"/>
      <c r="F168" s="315"/>
      <c r="G168" s="315"/>
      <c r="H168" s="315"/>
      <c r="I168" s="315"/>
      <c r="J168" s="315"/>
      <c r="K168" s="315"/>
      <c r="L168" s="315"/>
      <c r="M168" s="315"/>
      <c r="N168" s="315"/>
      <c r="O168" s="315"/>
      <c r="P168" s="434">
        <f t="shared" si="2"/>
        <v>0</v>
      </c>
      <c r="Q168" s="320"/>
      <c r="R168" s="321"/>
      <c r="S168" s="299"/>
    </row>
    <row r="169" spans="1:19" ht="50.25" customHeight="1">
      <c r="A169" s="352"/>
      <c r="B169" s="396" t="s">
        <v>547</v>
      </c>
      <c r="C169" s="315"/>
      <c r="D169" s="315"/>
      <c r="E169" s="315"/>
      <c r="F169" s="315"/>
      <c r="G169" s="315"/>
      <c r="H169" s="315"/>
      <c r="I169" s="315"/>
      <c r="J169" s="315"/>
      <c r="K169" s="315"/>
      <c r="L169" s="315"/>
      <c r="M169" s="315"/>
      <c r="N169" s="315"/>
      <c r="O169" s="315"/>
      <c r="P169" s="434">
        <f t="shared" si="2"/>
        <v>492</v>
      </c>
      <c r="Q169" s="320"/>
      <c r="R169" s="321">
        <v>492</v>
      </c>
      <c r="S169" s="299"/>
    </row>
    <row r="170" spans="1:19" ht="50.25" customHeight="1">
      <c r="A170" s="352"/>
      <c r="B170" s="396" t="s">
        <v>548</v>
      </c>
      <c r="C170" s="315"/>
      <c r="D170" s="315"/>
      <c r="E170" s="315"/>
      <c r="F170" s="315"/>
      <c r="G170" s="315"/>
      <c r="H170" s="315"/>
      <c r="I170" s="315"/>
      <c r="J170" s="315"/>
      <c r="K170" s="315"/>
      <c r="L170" s="315"/>
      <c r="M170" s="315"/>
      <c r="N170" s="315"/>
      <c r="O170" s="315"/>
      <c r="P170" s="434">
        <f t="shared" si="2"/>
        <v>492</v>
      </c>
      <c r="Q170" s="320"/>
      <c r="R170" s="321">
        <v>492</v>
      </c>
      <c r="S170" s="299"/>
    </row>
    <row r="171" spans="1:19" ht="50.25" customHeight="1">
      <c r="A171" s="352"/>
      <c r="B171" s="396" t="s">
        <v>549</v>
      </c>
      <c r="C171" s="315"/>
      <c r="D171" s="315"/>
      <c r="E171" s="315"/>
      <c r="F171" s="315"/>
      <c r="G171" s="315"/>
      <c r="H171" s="315"/>
      <c r="I171" s="315"/>
      <c r="J171" s="315"/>
      <c r="K171" s="315"/>
      <c r="L171" s="315"/>
      <c r="M171" s="315"/>
      <c r="N171" s="315"/>
      <c r="O171" s="315"/>
      <c r="P171" s="434">
        <f t="shared" si="2"/>
        <v>906</v>
      </c>
      <c r="Q171" s="320"/>
      <c r="R171" s="319">
        <f>R172</f>
        <v>906</v>
      </c>
      <c r="S171" s="300">
        <f>S172</f>
        <v>0</v>
      </c>
    </row>
    <row r="172" spans="1:19" s="331" customFormat="1" ht="50.25" customHeight="1">
      <c r="A172" s="344" t="s">
        <v>359</v>
      </c>
      <c r="B172" s="397" t="s">
        <v>550</v>
      </c>
      <c r="C172" s="399"/>
      <c r="D172" s="399"/>
      <c r="E172" s="399"/>
      <c r="F172" s="399"/>
      <c r="G172" s="399"/>
      <c r="H172" s="399"/>
      <c r="I172" s="399"/>
      <c r="J172" s="399"/>
      <c r="K172" s="399"/>
      <c r="L172" s="399"/>
      <c r="M172" s="399"/>
      <c r="N172" s="399"/>
      <c r="O172" s="399"/>
      <c r="P172" s="434">
        <f t="shared" si="2"/>
        <v>906</v>
      </c>
      <c r="Q172" s="400"/>
      <c r="R172" s="319">
        <v>906</v>
      </c>
      <c r="S172" s="299"/>
    </row>
    <row r="173" spans="1:19" s="331" customFormat="1" ht="50.25" customHeight="1">
      <c r="A173" s="344" t="s">
        <v>11</v>
      </c>
      <c r="B173" s="397" t="s">
        <v>551</v>
      </c>
      <c r="C173" s="399"/>
      <c r="D173" s="399"/>
      <c r="E173" s="399"/>
      <c r="F173" s="399"/>
      <c r="G173" s="399"/>
      <c r="H173" s="399"/>
      <c r="I173" s="399"/>
      <c r="J173" s="399"/>
      <c r="K173" s="399"/>
      <c r="L173" s="399"/>
      <c r="M173" s="399"/>
      <c r="N173" s="399"/>
      <c r="O173" s="399"/>
      <c r="P173" s="434">
        <f t="shared" si="2"/>
        <v>39957</v>
      </c>
      <c r="Q173" s="400"/>
      <c r="R173" s="319">
        <f>R174+R190+R192</f>
        <v>39957</v>
      </c>
      <c r="S173" s="300">
        <f>S174+S190+S192</f>
        <v>0</v>
      </c>
    </row>
    <row r="174" spans="1:19" s="411" customFormat="1" ht="50.25" customHeight="1">
      <c r="A174" s="418" t="s">
        <v>428</v>
      </c>
      <c r="B174" s="419" t="s">
        <v>429</v>
      </c>
      <c r="C174" s="422"/>
      <c r="D174" s="422"/>
      <c r="E174" s="422"/>
      <c r="F174" s="422"/>
      <c r="G174" s="422"/>
      <c r="H174" s="422"/>
      <c r="I174" s="422"/>
      <c r="J174" s="422"/>
      <c r="K174" s="422"/>
      <c r="L174" s="422"/>
      <c r="M174" s="422"/>
      <c r="N174" s="422"/>
      <c r="O174" s="422"/>
      <c r="P174" s="434">
        <f t="shared" si="2"/>
        <v>23157</v>
      </c>
      <c r="Q174" s="423"/>
      <c r="R174" s="424">
        <f>SUM(R175:R189)</f>
        <v>23157</v>
      </c>
      <c r="S174" s="305">
        <f>SUM(S175:S189)</f>
        <v>0</v>
      </c>
    </row>
    <row r="175" spans="1:19" ht="50.25" customHeight="1">
      <c r="A175" s="352">
        <v>1</v>
      </c>
      <c r="B175" s="396" t="s">
        <v>430</v>
      </c>
      <c r="C175" s="315"/>
      <c r="D175" s="315"/>
      <c r="E175" s="315"/>
      <c r="F175" s="315"/>
      <c r="G175" s="315"/>
      <c r="H175" s="315"/>
      <c r="I175" s="315"/>
      <c r="J175" s="315"/>
      <c r="K175" s="315"/>
      <c r="L175" s="315"/>
      <c r="M175" s="315"/>
      <c r="N175" s="315"/>
      <c r="O175" s="315"/>
      <c r="P175" s="434">
        <f t="shared" si="2"/>
        <v>2000</v>
      </c>
      <c r="Q175" s="320"/>
      <c r="R175" s="321">
        <v>2000</v>
      </c>
      <c r="S175" s="306"/>
    </row>
    <row r="176" spans="1:19" ht="50.25" customHeight="1">
      <c r="A176" s="352">
        <v>2</v>
      </c>
      <c r="B176" s="396" t="s">
        <v>431</v>
      </c>
      <c r="C176" s="315"/>
      <c r="D176" s="315"/>
      <c r="E176" s="315"/>
      <c r="F176" s="315"/>
      <c r="G176" s="315"/>
      <c r="H176" s="315"/>
      <c r="I176" s="315"/>
      <c r="J176" s="315"/>
      <c r="K176" s="315"/>
      <c r="L176" s="315"/>
      <c r="M176" s="315"/>
      <c r="N176" s="315"/>
      <c r="O176" s="315"/>
      <c r="P176" s="434">
        <f t="shared" si="2"/>
        <v>1500</v>
      </c>
      <c r="Q176" s="320"/>
      <c r="R176" s="321">
        <v>1500</v>
      </c>
      <c r="S176" s="307"/>
    </row>
    <row r="177" spans="1:19" ht="50.25" customHeight="1">
      <c r="A177" s="352">
        <v>3</v>
      </c>
      <c r="B177" s="396" t="s">
        <v>432</v>
      </c>
      <c r="C177" s="315"/>
      <c r="D177" s="315"/>
      <c r="E177" s="315"/>
      <c r="F177" s="315"/>
      <c r="G177" s="315"/>
      <c r="H177" s="315"/>
      <c r="I177" s="315"/>
      <c r="J177" s="315"/>
      <c r="K177" s="315"/>
      <c r="L177" s="315"/>
      <c r="M177" s="315"/>
      <c r="N177" s="315"/>
      <c r="O177" s="315"/>
      <c r="P177" s="434">
        <f t="shared" si="2"/>
        <v>1857</v>
      </c>
      <c r="Q177" s="320"/>
      <c r="R177" s="321">
        <v>1857</v>
      </c>
      <c r="S177" s="306"/>
    </row>
    <row r="178" spans="1:19" ht="50.25" customHeight="1">
      <c r="A178" s="352">
        <v>4</v>
      </c>
      <c r="B178" s="396" t="s">
        <v>433</v>
      </c>
      <c r="C178" s="315"/>
      <c r="D178" s="315"/>
      <c r="E178" s="315"/>
      <c r="F178" s="315"/>
      <c r="G178" s="315"/>
      <c r="H178" s="315"/>
      <c r="I178" s="315"/>
      <c r="J178" s="315"/>
      <c r="K178" s="315"/>
      <c r="L178" s="315"/>
      <c r="M178" s="315"/>
      <c r="N178" s="315"/>
      <c r="O178" s="315"/>
      <c r="P178" s="434">
        <f t="shared" si="2"/>
        <v>1000</v>
      </c>
      <c r="Q178" s="320"/>
      <c r="R178" s="321">
        <v>1000</v>
      </c>
      <c r="S178" s="307"/>
    </row>
    <row r="179" spans="1:19" ht="50.25" customHeight="1">
      <c r="A179" s="352">
        <v>5</v>
      </c>
      <c r="B179" s="396" t="s">
        <v>434</v>
      </c>
      <c r="C179" s="315"/>
      <c r="D179" s="315"/>
      <c r="E179" s="315"/>
      <c r="F179" s="315"/>
      <c r="G179" s="315"/>
      <c r="H179" s="315"/>
      <c r="I179" s="315"/>
      <c r="J179" s="315"/>
      <c r="K179" s="315"/>
      <c r="L179" s="315"/>
      <c r="M179" s="315"/>
      <c r="N179" s="315"/>
      <c r="O179" s="315"/>
      <c r="P179" s="434">
        <f t="shared" si="2"/>
        <v>800</v>
      </c>
      <c r="Q179" s="320"/>
      <c r="R179" s="321">
        <v>800</v>
      </c>
      <c r="S179" s="307"/>
    </row>
    <row r="180" spans="1:19" ht="50.25" customHeight="1">
      <c r="A180" s="352">
        <v>6</v>
      </c>
      <c r="B180" s="396" t="s">
        <v>435</v>
      </c>
      <c r="C180" s="315"/>
      <c r="D180" s="315"/>
      <c r="E180" s="315"/>
      <c r="F180" s="315"/>
      <c r="G180" s="315"/>
      <c r="H180" s="315"/>
      <c r="I180" s="315"/>
      <c r="J180" s="315"/>
      <c r="K180" s="315"/>
      <c r="L180" s="315"/>
      <c r="M180" s="315"/>
      <c r="N180" s="315"/>
      <c r="O180" s="315"/>
      <c r="P180" s="434">
        <f t="shared" si="2"/>
        <v>800</v>
      </c>
      <c r="Q180" s="320"/>
      <c r="R180" s="321">
        <v>800</v>
      </c>
      <c r="S180" s="307"/>
    </row>
    <row r="181" spans="1:19" ht="50.25" customHeight="1">
      <c r="A181" s="352">
        <v>7</v>
      </c>
      <c r="B181" s="396" t="s">
        <v>436</v>
      </c>
      <c r="C181" s="315"/>
      <c r="D181" s="315"/>
      <c r="E181" s="315"/>
      <c r="F181" s="315"/>
      <c r="G181" s="315"/>
      <c r="H181" s="315"/>
      <c r="I181" s="315"/>
      <c r="J181" s="315"/>
      <c r="K181" s="315"/>
      <c r="L181" s="315"/>
      <c r="M181" s="315"/>
      <c r="N181" s="315"/>
      <c r="O181" s="315"/>
      <c r="P181" s="434">
        <f t="shared" si="2"/>
        <v>1000</v>
      </c>
      <c r="Q181" s="320"/>
      <c r="R181" s="321">
        <v>1000</v>
      </c>
      <c r="S181" s="307"/>
    </row>
    <row r="182" spans="1:19" ht="50.25" customHeight="1">
      <c r="A182" s="352">
        <v>8</v>
      </c>
      <c r="B182" s="396" t="s">
        <v>437</v>
      </c>
      <c r="C182" s="315"/>
      <c r="D182" s="315"/>
      <c r="E182" s="315"/>
      <c r="F182" s="315"/>
      <c r="G182" s="315"/>
      <c r="H182" s="315"/>
      <c r="I182" s="315"/>
      <c r="J182" s="315"/>
      <c r="K182" s="315"/>
      <c r="L182" s="315"/>
      <c r="M182" s="315"/>
      <c r="N182" s="315"/>
      <c r="O182" s="315"/>
      <c r="P182" s="434">
        <f t="shared" si="2"/>
        <v>1500</v>
      </c>
      <c r="Q182" s="320"/>
      <c r="R182" s="321">
        <v>1500</v>
      </c>
      <c r="S182" s="307"/>
    </row>
    <row r="183" spans="1:19" ht="50.25" customHeight="1">
      <c r="A183" s="352">
        <v>9</v>
      </c>
      <c r="B183" s="396" t="s">
        <v>438</v>
      </c>
      <c r="C183" s="315"/>
      <c r="D183" s="315"/>
      <c r="E183" s="315"/>
      <c r="F183" s="315"/>
      <c r="G183" s="315"/>
      <c r="H183" s="315"/>
      <c r="I183" s="315"/>
      <c r="J183" s="315"/>
      <c r="K183" s="315"/>
      <c r="L183" s="315"/>
      <c r="M183" s="315"/>
      <c r="N183" s="315"/>
      <c r="O183" s="315"/>
      <c r="P183" s="434">
        <f t="shared" si="2"/>
        <v>1300</v>
      </c>
      <c r="Q183" s="320"/>
      <c r="R183" s="321">
        <v>1300</v>
      </c>
      <c r="S183" s="307"/>
    </row>
    <row r="184" spans="1:19" ht="50.25" customHeight="1">
      <c r="A184" s="352">
        <v>10</v>
      </c>
      <c r="B184" s="396" t="s">
        <v>439</v>
      </c>
      <c r="C184" s="315"/>
      <c r="D184" s="315"/>
      <c r="E184" s="315"/>
      <c r="F184" s="315"/>
      <c r="G184" s="315"/>
      <c r="H184" s="315"/>
      <c r="I184" s="315"/>
      <c r="J184" s="315"/>
      <c r="K184" s="315"/>
      <c r="L184" s="315"/>
      <c r="M184" s="315"/>
      <c r="N184" s="315"/>
      <c r="O184" s="315"/>
      <c r="P184" s="434">
        <f t="shared" si="2"/>
        <v>1400</v>
      </c>
      <c r="Q184" s="320"/>
      <c r="R184" s="321">
        <v>1400</v>
      </c>
      <c r="S184" s="307"/>
    </row>
    <row r="185" spans="1:19" ht="50.25" customHeight="1">
      <c r="A185" s="352">
        <v>11</v>
      </c>
      <c r="B185" s="396" t="s">
        <v>440</v>
      </c>
      <c r="C185" s="315"/>
      <c r="D185" s="315"/>
      <c r="E185" s="315"/>
      <c r="F185" s="315"/>
      <c r="G185" s="315"/>
      <c r="H185" s="315"/>
      <c r="I185" s="315"/>
      <c r="J185" s="315"/>
      <c r="K185" s="315"/>
      <c r="L185" s="315"/>
      <c r="M185" s="315"/>
      <c r="N185" s="315"/>
      <c r="O185" s="315"/>
      <c r="P185" s="434">
        <f t="shared" si="2"/>
        <v>3500</v>
      </c>
      <c r="Q185" s="320"/>
      <c r="R185" s="321">
        <v>3500</v>
      </c>
      <c r="S185" s="307"/>
    </row>
    <row r="186" spans="1:19" ht="50.25" customHeight="1">
      <c r="A186" s="352">
        <v>12</v>
      </c>
      <c r="B186" s="396" t="s">
        <v>441</v>
      </c>
      <c r="C186" s="315"/>
      <c r="D186" s="315"/>
      <c r="E186" s="315"/>
      <c r="F186" s="315"/>
      <c r="G186" s="315"/>
      <c r="H186" s="315"/>
      <c r="I186" s="315"/>
      <c r="J186" s="315"/>
      <c r="K186" s="315"/>
      <c r="L186" s="315"/>
      <c r="M186" s="315"/>
      <c r="N186" s="315"/>
      <c r="O186" s="315"/>
      <c r="P186" s="434">
        <f t="shared" si="2"/>
        <v>3000</v>
      </c>
      <c r="Q186" s="320"/>
      <c r="R186" s="321">
        <v>3000</v>
      </c>
      <c r="S186" s="307"/>
    </row>
    <row r="187" spans="1:19" ht="50.25" customHeight="1">
      <c r="A187" s="352">
        <v>13</v>
      </c>
      <c r="B187" s="396" t="s">
        <v>552</v>
      </c>
      <c r="C187" s="315"/>
      <c r="D187" s="315"/>
      <c r="E187" s="315"/>
      <c r="F187" s="315"/>
      <c r="G187" s="315"/>
      <c r="H187" s="315"/>
      <c r="I187" s="315"/>
      <c r="J187" s="315"/>
      <c r="K187" s="315"/>
      <c r="L187" s="315"/>
      <c r="M187" s="315"/>
      <c r="N187" s="315"/>
      <c r="O187" s="315"/>
      <c r="P187" s="434">
        <f t="shared" si="2"/>
        <v>1500</v>
      </c>
      <c r="Q187" s="320"/>
      <c r="R187" s="321">
        <v>1500</v>
      </c>
      <c r="S187" s="307"/>
    </row>
    <row r="188" spans="1:19" ht="50.25" customHeight="1">
      <c r="A188" s="352">
        <v>14</v>
      </c>
      <c r="B188" s="396" t="s">
        <v>442</v>
      </c>
      <c r="C188" s="315"/>
      <c r="D188" s="315"/>
      <c r="E188" s="315"/>
      <c r="F188" s="315"/>
      <c r="G188" s="315"/>
      <c r="H188" s="315"/>
      <c r="I188" s="315"/>
      <c r="J188" s="315"/>
      <c r="K188" s="315"/>
      <c r="L188" s="315"/>
      <c r="M188" s="315"/>
      <c r="N188" s="315"/>
      <c r="O188" s="315"/>
      <c r="P188" s="434">
        <f t="shared" si="2"/>
        <v>1000</v>
      </c>
      <c r="Q188" s="320"/>
      <c r="R188" s="321">
        <v>1000</v>
      </c>
      <c r="S188" s="307"/>
    </row>
    <row r="189" spans="1:19" ht="50.25" customHeight="1">
      <c r="A189" s="352">
        <v>15</v>
      </c>
      <c r="B189" s="396" t="s">
        <v>553</v>
      </c>
      <c r="C189" s="315"/>
      <c r="D189" s="315"/>
      <c r="E189" s="315"/>
      <c r="F189" s="315"/>
      <c r="G189" s="315"/>
      <c r="H189" s="315"/>
      <c r="I189" s="315"/>
      <c r="J189" s="315"/>
      <c r="K189" s="315"/>
      <c r="L189" s="315"/>
      <c r="M189" s="315"/>
      <c r="N189" s="315"/>
      <c r="O189" s="315"/>
      <c r="P189" s="434">
        <f t="shared" si="2"/>
        <v>1000</v>
      </c>
      <c r="Q189" s="320"/>
      <c r="R189" s="321">
        <v>1000</v>
      </c>
      <c r="S189" s="307"/>
    </row>
    <row r="190" spans="1:19" s="411" customFormat="1" ht="50.25" customHeight="1">
      <c r="A190" s="418" t="s">
        <v>554</v>
      </c>
      <c r="B190" s="419" t="s">
        <v>555</v>
      </c>
      <c r="C190" s="422"/>
      <c r="D190" s="422"/>
      <c r="E190" s="422"/>
      <c r="F190" s="422"/>
      <c r="G190" s="422"/>
      <c r="H190" s="422"/>
      <c r="I190" s="422"/>
      <c r="J190" s="422"/>
      <c r="K190" s="422"/>
      <c r="L190" s="422"/>
      <c r="M190" s="422"/>
      <c r="N190" s="422"/>
      <c r="O190" s="422"/>
      <c r="P190" s="434">
        <f t="shared" si="2"/>
        <v>300</v>
      </c>
      <c r="Q190" s="423"/>
      <c r="R190" s="425">
        <f>R191</f>
        <v>300</v>
      </c>
      <c r="S190" s="308"/>
    </row>
    <row r="191" spans="1:19" ht="50.25" customHeight="1">
      <c r="A191" s="352">
        <v>1</v>
      </c>
      <c r="B191" s="396" t="s">
        <v>556</v>
      </c>
      <c r="C191" s="315"/>
      <c r="D191" s="315"/>
      <c r="E191" s="315"/>
      <c r="F191" s="315"/>
      <c r="G191" s="315"/>
      <c r="H191" s="315"/>
      <c r="I191" s="315"/>
      <c r="J191" s="315"/>
      <c r="K191" s="315"/>
      <c r="L191" s="315"/>
      <c r="M191" s="315"/>
      <c r="N191" s="315"/>
      <c r="O191" s="315"/>
      <c r="P191" s="434">
        <f t="shared" si="2"/>
        <v>300</v>
      </c>
      <c r="Q191" s="320"/>
      <c r="R191" s="323">
        <v>300</v>
      </c>
      <c r="S191" s="309"/>
    </row>
    <row r="192" spans="1:19" s="411" customFormat="1" ht="50.25" customHeight="1">
      <c r="A192" s="418" t="s">
        <v>488</v>
      </c>
      <c r="B192" s="419" t="s">
        <v>477</v>
      </c>
      <c r="C192" s="422"/>
      <c r="D192" s="422"/>
      <c r="E192" s="422"/>
      <c r="F192" s="422"/>
      <c r="G192" s="422"/>
      <c r="H192" s="422"/>
      <c r="I192" s="422"/>
      <c r="J192" s="422"/>
      <c r="K192" s="422"/>
      <c r="L192" s="422"/>
      <c r="M192" s="422"/>
      <c r="N192" s="422"/>
      <c r="O192" s="422"/>
      <c r="P192" s="434">
        <f t="shared" si="2"/>
        <v>16500</v>
      </c>
      <c r="Q192" s="423"/>
      <c r="R192" s="414">
        <f>SUM(R193:R197)</f>
        <v>16500</v>
      </c>
      <c r="S192" s="310">
        <f>SUM(S193:S197)</f>
        <v>0</v>
      </c>
    </row>
    <row r="193" spans="1:19" ht="50.25" customHeight="1">
      <c r="A193" s="352">
        <v>1</v>
      </c>
      <c r="B193" s="396" t="s">
        <v>557</v>
      </c>
      <c r="C193" s="315"/>
      <c r="D193" s="315"/>
      <c r="E193" s="315"/>
      <c r="F193" s="315"/>
      <c r="G193" s="315"/>
      <c r="H193" s="315"/>
      <c r="I193" s="315"/>
      <c r="J193" s="315"/>
      <c r="K193" s="315"/>
      <c r="L193" s="315"/>
      <c r="M193" s="315"/>
      <c r="N193" s="315"/>
      <c r="O193" s="315"/>
      <c r="P193" s="434">
        <f t="shared" si="2"/>
        <v>2500</v>
      </c>
      <c r="Q193" s="320"/>
      <c r="R193" s="321">
        <v>2500</v>
      </c>
      <c r="S193" s="307"/>
    </row>
    <row r="194" spans="1:19" ht="50.25" customHeight="1">
      <c r="A194" s="352">
        <v>2</v>
      </c>
      <c r="B194" s="396" t="s">
        <v>449</v>
      </c>
      <c r="C194" s="315"/>
      <c r="D194" s="315"/>
      <c r="E194" s="315"/>
      <c r="F194" s="315"/>
      <c r="G194" s="315"/>
      <c r="H194" s="315"/>
      <c r="I194" s="315"/>
      <c r="J194" s="315"/>
      <c r="K194" s="315"/>
      <c r="L194" s="315"/>
      <c r="M194" s="315"/>
      <c r="N194" s="315"/>
      <c r="O194" s="315"/>
      <c r="P194" s="434">
        <f t="shared" si="2"/>
        <v>2500</v>
      </c>
      <c r="Q194" s="320"/>
      <c r="R194" s="321">
        <v>2500</v>
      </c>
      <c r="S194" s="307"/>
    </row>
    <row r="195" spans="1:19" ht="50.25" customHeight="1">
      <c r="A195" s="352">
        <v>3</v>
      </c>
      <c r="B195" s="396" t="s">
        <v>558</v>
      </c>
      <c r="C195" s="315"/>
      <c r="D195" s="315"/>
      <c r="E195" s="315"/>
      <c r="F195" s="315"/>
      <c r="G195" s="315"/>
      <c r="H195" s="315"/>
      <c r="I195" s="315"/>
      <c r="J195" s="315"/>
      <c r="K195" s="315"/>
      <c r="L195" s="315"/>
      <c r="M195" s="315"/>
      <c r="N195" s="315"/>
      <c r="O195" s="315"/>
      <c r="P195" s="434">
        <f t="shared" si="2"/>
        <v>3500</v>
      </c>
      <c r="Q195" s="320"/>
      <c r="R195" s="321">
        <v>3500</v>
      </c>
      <c r="S195" s="307"/>
    </row>
    <row r="196" spans="1:19" ht="50.25" customHeight="1">
      <c r="A196" s="352">
        <v>4</v>
      </c>
      <c r="B196" s="396" t="s">
        <v>559</v>
      </c>
      <c r="C196" s="315"/>
      <c r="D196" s="315"/>
      <c r="E196" s="315"/>
      <c r="F196" s="315"/>
      <c r="G196" s="315"/>
      <c r="H196" s="315"/>
      <c r="I196" s="315"/>
      <c r="J196" s="315"/>
      <c r="K196" s="315"/>
      <c r="L196" s="315"/>
      <c r="M196" s="315"/>
      <c r="N196" s="315"/>
      <c r="O196" s="315"/>
      <c r="P196" s="434">
        <f t="shared" si="2"/>
        <v>2500</v>
      </c>
      <c r="Q196" s="320"/>
      <c r="R196" s="321">
        <v>2500</v>
      </c>
      <c r="S196" s="307"/>
    </row>
    <row r="197" spans="1:19" ht="50.25" customHeight="1">
      <c r="A197" s="352">
        <v>5</v>
      </c>
      <c r="B197" s="396" t="s">
        <v>560</v>
      </c>
      <c r="C197" s="315"/>
      <c r="D197" s="315"/>
      <c r="E197" s="315"/>
      <c r="F197" s="315"/>
      <c r="G197" s="315"/>
      <c r="H197" s="315"/>
      <c r="I197" s="315"/>
      <c r="J197" s="315"/>
      <c r="K197" s="315"/>
      <c r="L197" s="315"/>
      <c r="M197" s="315"/>
      <c r="N197" s="315"/>
      <c r="O197" s="315"/>
      <c r="P197" s="434">
        <f t="shared" si="2"/>
        <v>5500</v>
      </c>
      <c r="Q197" s="320"/>
      <c r="R197" s="321">
        <v>5500</v>
      </c>
      <c r="S197" s="307"/>
    </row>
    <row r="198" spans="1:19" s="331" customFormat="1" ht="50.25" customHeight="1">
      <c r="A198" s="344" t="s">
        <v>12</v>
      </c>
      <c r="B198" s="397" t="s">
        <v>561</v>
      </c>
      <c r="C198" s="399"/>
      <c r="D198" s="399"/>
      <c r="E198" s="399"/>
      <c r="F198" s="399"/>
      <c r="G198" s="399"/>
      <c r="H198" s="399"/>
      <c r="I198" s="399"/>
      <c r="J198" s="399"/>
      <c r="K198" s="399"/>
      <c r="L198" s="399"/>
      <c r="M198" s="399"/>
      <c r="N198" s="399"/>
      <c r="O198" s="399"/>
      <c r="P198" s="434">
        <f t="shared" si="2"/>
        <v>1000</v>
      </c>
      <c r="Q198" s="400"/>
      <c r="R198" s="324">
        <f>R199</f>
        <v>800</v>
      </c>
      <c r="S198" s="311">
        <f>S199</f>
        <v>200</v>
      </c>
    </row>
    <row r="199" spans="1:19" s="331" customFormat="1" ht="50.25" customHeight="1">
      <c r="A199" s="344" t="s">
        <v>428</v>
      </c>
      <c r="B199" s="397" t="s">
        <v>420</v>
      </c>
      <c r="C199" s="399"/>
      <c r="D199" s="399"/>
      <c r="E199" s="399"/>
      <c r="F199" s="399"/>
      <c r="G199" s="399"/>
      <c r="H199" s="399"/>
      <c r="I199" s="399"/>
      <c r="J199" s="399"/>
      <c r="K199" s="399"/>
      <c r="L199" s="399"/>
      <c r="M199" s="399"/>
      <c r="N199" s="399"/>
      <c r="O199" s="399"/>
      <c r="P199" s="434">
        <f t="shared" si="2"/>
        <v>1000</v>
      </c>
      <c r="Q199" s="400"/>
      <c r="R199" s="324">
        <f>R201</f>
        <v>800</v>
      </c>
      <c r="S199" s="312">
        <f>S201</f>
        <v>200</v>
      </c>
    </row>
    <row r="200" spans="1:19" s="331" customFormat="1" ht="50.25" customHeight="1">
      <c r="A200" s="344" t="s">
        <v>359</v>
      </c>
      <c r="B200" s="397" t="s">
        <v>535</v>
      </c>
      <c r="C200" s="399"/>
      <c r="D200" s="399"/>
      <c r="E200" s="399"/>
      <c r="F200" s="399"/>
      <c r="G200" s="399"/>
      <c r="H200" s="399"/>
      <c r="I200" s="399"/>
      <c r="J200" s="399"/>
      <c r="K200" s="399"/>
      <c r="L200" s="399"/>
      <c r="M200" s="399"/>
      <c r="N200" s="399"/>
      <c r="O200" s="399"/>
      <c r="P200" s="341">
        <f t="shared" si="2"/>
        <v>0</v>
      </c>
      <c r="Q200" s="400"/>
      <c r="R200" s="440"/>
      <c r="S200" s="311"/>
    </row>
    <row r="201" spans="1:19" ht="50.25" customHeight="1">
      <c r="A201" s="438" t="s">
        <v>207</v>
      </c>
      <c r="B201" s="439" t="s">
        <v>562</v>
      </c>
      <c r="C201" s="316"/>
      <c r="D201" s="316"/>
      <c r="E201" s="316"/>
      <c r="F201" s="316"/>
      <c r="G201" s="316"/>
      <c r="H201" s="316"/>
      <c r="I201" s="316"/>
      <c r="J201" s="316"/>
      <c r="K201" s="316"/>
      <c r="L201" s="316"/>
      <c r="M201" s="316"/>
      <c r="N201" s="316"/>
      <c r="O201" s="316"/>
      <c r="P201" s="437">
        <f t="shared" si="2"/>
        <v>1000</v>
      </c>
      <c r="Q201" s="325"/>
      <c r="R201" s="326">
        <v>800</v>
      </c>
      <c r="S201" s="313">
        <v>200</v>
      </c>
    </row>
  </sheetData>
  <sheetProtection/>
  <mergeCells count="20">
    <mergeCell ref="A4:S4"/>
    <mergeCell ref="P5:S6"/>
    <mergeCell ref="C6:C8"/>
    <mergeCell ref="D6:G6"/>
    <mergeCell ref="D7:D8"/>
    <mergeCell ref="H7:H8"/>
    <mergeCell ref="I7:K7"/>
    <mergeCell ref="L7:L8"/>
    <mergeCell ref="M7:O7"/>
    <mergeCell ref="P7:P8"/>
    <mergeCell ref="Q7:S7"/>
    <mergeCell ref="A1:S1"/>
    <mergeCell ref="A2:S2"/>
    <mergeCell ref="A3:S3"/>
    <mergeCell ref="E7:G7"/>
    <mergeCell ref="A5:A8"/>
    <mergeCell ref="B5:B8"/>
    <mergeCell ref="C5:G5"/>
    <mergeCell ref="H5:K6"/>
    <mergeCell ref="L5:O6"/>
  </mergeCells>
  <printOptions/>
  <pageMargins left="0.46" right="0.16" top="0.42" bottom="0.2" header="0.2"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FF0000"/>
  </sheetPr>
  <dimension ref="A1:I116"/>
  <sheetViews>
    <sheetView zoomScalePageLayoutView="0" workbookViewId="0" topLeftCell="A7">
      <selection activeCell="K25" sqref="K25"/>
    </sheetView>
  </sheetViews>
  <sheetFormatPr defaultColWidth="9.125" defaultRowHeight="14.25"/>
  <cols>
    <col min="1" max="1" width="4.75390625" style="1" customWidth="1"/>
    <col min="2" max="2" width="39.375" style="1" customWidth="1"/>
    <col min="3" max="4" width="7.625" style="1" customWidth="1"/>
    <col min="5" max="6" width="7.00390625" style="1" customWidth="1"/>
    <col min="7" max="7" width="6.50390625" style="1" customWidth="1"/>
    <col min="8" max="8" width="7.125" style="1" customWidth="1"/>
    <col min="9" max="16384" width="9.125" style="1" customWidth="1"/>
  </cols>
  <sheetData>
    <row r="1" spans="1:8" ht="15" customHeight="1">
      <c r="A1" s="471"/>
      <c r="B1" s="471"/>
      <c r="C1" s="58"/>
      <c r="D1" s="58"/>
      <c r="E1" s="472" t="s">
        <v>108</v>
      </c>
      <c r="F1" s="472"/>
      <c r="G1" s="472"/>
      <c r="H1" s="472"/>
    </row>
    <row r="2" spans="1:8" ht="18.75">
      <c r="A2" s="470" t="s">
        <v>374</v>
      </c>
      <c r="B2" s="470"/>
      <c r="C2" s="470"/>
      <c r="D2" s="470"/>
      <c r="E2" s="470"/>
      <c r="F2" s="470"/>
      <c r="G2" s="470"/>
      <c r="H2" s="470"/>
    </row>
    <row r="3" spans="1:8" ht="34.5" customHeight="1">
      <c r="A3" s="474" t="str">
        <f>'15'!A3:G3</f>
        <v>(Kèm theo Tờ trình số         /TTr-HĐND  ngày        tháng 12 năm 2022 của UBND huyện Hạ Lang)</v>
      </c>
      <c r="B3" s="474"/>
      <c r="C3" s="474"/>
      <c r="D3" s="474"/>
      <c r="E3" s="474"/>
      <c r="F3" s="474"/>
      <c r="G3" s="474"/>
      <c r="H3" s="474"/>
    </row>
    <row r="4" spans="6:8" ht="15" customHeight="1">
      <c r="F4" s="476" t="s">
        <v>9</v>
      </c>
      <c r="G4" s="476"/>
      <c r="H4" s="476"/>
    </row>
    <row r="5" spans="1:8" ht="32.25" customHeight="1">
      <c r="A5" s="475" t="s">
        <v>4</v>
      </c>
      <c r="B5" s="475" t="s">
        <v>5</v>
      </c>
      <c r="C5" s="475" t="s">
        <v>372</v>
      </c>
      <c r="D5" s="475"/>
      <c r="E5" s="475" t="s">
        <v>373</v>
      </c>
      <c r="F5" s="475"/>
      <c r="G5" s="475" t="s">
        <v>59</v>
      </c>
      <c r="H5" s="475"/>
    </row>
    <row r="6" spans="1:8" ht="42.75">
      <c r="A6" s="475"/>
      <c r="B6" s="475"/>
      <c r="C6" s="2" t="s">
        <v>60</v>
      </c>
      <c r="D6" s="2" t="s">
        <v>61</v>
      </c>
      <c r="E6" s="2" t="s">
        <v>60</v>
      </c>
      <c r="F6" s="2" t="s">
        <v>61</v>
      </c>
      <c r="G6" s="2" t="s">
        <v>60</v>
      </c>
      <c r="H6" s="2" t="s">
        <v>190</v>
      </c>
    </row>
    <row r="7" spans="1:8" ht="15">
      <c r="A7" s="2" t="s">
        <v>6</v>
      </c>
      <c r="B7" s="2" t="s">
        <v>7</v>
      </c>
      <c r="C7" s="2">
        <v>1</v>
      </c>
      <c r="D7" s="2">
        <v>2</v>
      </c>
      <c r="E7" s="2">
        <v>3</v>
      </c>
      <c r="F7" s="2">
        <v>4</v>
      </c>
      <c r="G7" s="2" t="s">
        <v>62</v>
      </c>
      <c r="H7" s="2" t="s">
        <v>63</v>
      </c>
    </row>
    <row r="8" spans="1:8" s="37" customFormat="1" ht="14.25">
      <c r="A8" s="27"/>
      <c r="B8" s="28" t="s">
        <v>64</v>
      </c>
      <c r="C8" s="38">
        <f>C9+C50+C51+C58</f>
        <v>26532.382</v>
      </c>
      <c r="D8" s="38">
        <f>D9+D50+D51+D58</f>
        <v>13688</v>
      </c>
      <c r="E8" s="38">
        <f>E9+E50+E51+E58</f>
        <v>22400</v>
      </c>
      <c r="F8" s="38">
        <f>F9+F50+F51+F58</f>
        <v>14390</v>
      </c>
      <c r="G8" s="39">
        <f>E8/C8*100</f>
        <v>84.42513755455504</v>
      </c>
      <c r="H8" s="138">
        <f>F8/D8</f>
        <v>1.0512857977790766</v>
      </c>
    </row>
    <row r="9" spans="1:9" s="37" customFormat="1" ht="14.25">
      <c r="A9" s="29" t="s">
        <v>15</v>
      </c>
      <c r="B9" s="30" t="s">
        <v>10</v>
      </c>
      <c r="C9" s="36">
        <f>C10+C15+C20+C21+C27+C28+C31+C32+C37+C38+C39+C40+C41+C42+C44+C45+C46+C47+C48+C49</f>
        <v>26513.882</v>
      </c>
      <c r="D9" s="36">
        <f>D10+D15+D20+D21+D27+D28+D31+D32+D37+D38+D39+D40+D41+D42+D44+D45+D46+D47+D48+D49</f>
        <v>13688</v>
      </c>
      <c r="E9" s="36">
        <f>E10+E15+E20+E21+E27+E28+E31+E32+E37+E38+E39+E40+E41+E42+E44+E45+E46+E47+E48+E49</f>
        <v>22400</v>
      </c>
      <c r="F9" s="36">
        <f>F10+F15+F20+F21+F27+F28+F31+F32+F37+F38+F39+F40+F41+F42+F44+F45+F46+F47+F48+F49</f>
        <v>14390</v>
      </c>
      <c r="G9" s="40">
        <f>E9/C9*100</f>
        <v>84.48404499952137</v>
      </c>
      <c r="H9" s="139">
        <f>F9/D9</f>
        <v>1.0512857977790766</v>
      </c>
      <c r="I9" s="137"/>
    </row>
    <row r="10" spans="1:8" ht="15">
      <c r="A10" s="32">
        <v>1</v>
      </c>
      <c r="B10" s="33" t="s">
        <v>109</v>
      </c>
      <c r="C10" s="31">
        <f>SUM(C11:C14)</f>
        <v>251.2</v>
      </c>
      <c r="D10" s="31">
        <f>SUM(D11:D14)</f>
        <v>0</v>
      </c>
      <c r="E10" s="31">
        <f>SUM(E11:E14)</f>
        <v>200</v>
      </c>
      <c r="F10" s="31">
        <f>SUM(F11:F14)</f>
        <v>0</v>
      </c>
      <c r="G10" s="42">
        <f>E10/C10*100</f>
        <v>79.61783439490446</v>
      </c>
      <c r="H10" s="139"/>
    </row>
    <row r="11" spans="1:8" ht="15.75">
      <c r="A11" s="32"/>
      <c r="B11" s="44" t="s">
        <v>186</v>
      </c>
      <c r="C11" s="31"/>
      <c r="D11" s="31"/>
      <c r="E11" s="31"/>
      <c r="F11" s="31"/>
      <c r="G11" s="42"/>
      <c r="H11" s="139"/>
    </row>
    <row r="12" spans="1:8" ht="15.75">
      <c r="A12" s="32"/>
      <c r="B12" s="44" t="s">
        <v>185</v>
      </c>
      <c r="C12" s="31">
        <v>250</v>
      </c>
      <c r="D12" s="31"/>
      <c r="E12" s="31">
        <v>200</v>
      </c>
      <c r="F12" s="31"/>
      <c r="G12" s="42">
        <f>E12/C12*100</f>
        <v>80</v>
      </c>
      <c r="H12" s="139"/>
    </row>
    <row r="13" spans="1:8" ht="15.75">
      <c r="A13" s="32"/>
      <c r="B13" s="44" t="s">
        <v>187</v>
      </c>
      <c r="C13" s="31">
        <v>1.2</v>
      </c>
      <c r="D13" s="31"/>
      <c r="E13" s="31"/>
      <c r="F13" s="31"/>
      <c r="G13" s="42"/>
      <c r="H13" s="139"/>
    </row>
    <row r="14" spans="1:8" ht="15.75">
      <c r="A14" s="32"/>
      <c r="B14" s="44" t="s">
        <v>188</v>
      </c>
      <c r="C14" s="31"/>
      <c r="D14" s="31"/>
      <c r="E14" s="31"/>
      <c r="F14" s="31"/>
      <c r="G14" s="42"/>
      <c r="H14" s="139"/>
    </row>
    <row r="15" spans="1:8" ht="15">
      <c r="A15" s="32">
        <v>2</v>
      </c>
      <c r="B15" s="33" t="s">
        <v>110</v>
      </c>
      <c r="C15" s="31">
        <f>SUM(C16:C19)</f>
        <v>116</v>
      </c>
      <c r="D15" s="31">
        <f>SUM(D16:D19)</f>
        <v>0</v>
      </c>
      <c r="E15" s="31">
        <f>SUM(E16:E19)</f>
        <v>40</v>
      </c>
      <c r="F15" s="31">
        <f>SUM(F16:F19)</f>
        <v>0</v>
      </c>
      <c r="G15" s="42">
        <f>E15/C15*100</f>
        <v>34.48275862068966</v>
      </c>
      <c r="H15" s="139"/>
    </row>
    <row r="16" spans="1:8" ht="15.75">
      <c r="A16" s="32"/>
      <c r="B16" s="44" t="s">
        <v>186</v>
      </c>
      <c r="C16" s="31"/>
      <c r="D16" s="31"/>
      <c r="E16" s="31"/>
      <c r="F16" s="31"/>
      <c r="G16" s="42"/>
      <c r="H16" s="139"/>
    </row>
    <row r="17" spans="1:8" ht="15.75">
      <c r="A17" s="32"/>
      <c r="B17" s="44" t="s">
        <v>185</v>
      </c>
      <c r="C17" s="31">
        <v>113</v>
      </c>
      <c r="D17" s="31"/>
      <c r="E17" s="31">
        <v>40</v>
      </c>
      <c r="F17" s="31"/>
      <c r="G17" s="42">
        <f>E17/C17*100</f>
        <v>35.39823008849557</v>
      </c>
      <c r="H17" s="139"/>
    </row>
    <row r="18" spans="1:8" ht="15.75">
      <c r="A18" s="32"/>
      <c r="B18" s="44" t="s">
        <v>187</v>
      </c>
      <c r="C18" s="31">
        <v>3</v>
      </c>
      <c r="D18" s="31"/>
      <c r="E18" s="31"/>
      <c r="F18" s="31"/>
      <c r="G18" s="42"/>
      <c r="H18" s="139"/>
    </row>
    <row r="19" spans="1:8" ht="15.75">
      <c r="A19" s="32"/>
      <c r="B19" s="44" t="s">
        <v>188</v>
      </c>
      <c r="C19" s="31"/>
      <c r="D19" s="31"/>
      <c r="E19" s="31"/>
      <c r="F19" s="31"/>
      <c r="G19" s="42"/>
      <c r="H19" s="139"/>
    </row>
    <row r="20" spans="1:8" ht="30">
      <c r="A20" s="32">
        <v>3</v>
      </c>
      <c r="B20" s="33" t="s">
        <v>40</v>
      </c>
      <c r="C20" s="31"/>
      <c r="D20" s="31"/>
      <c r="E20" s="31"/>
      <c r="F20" s="31"/>
      <c r="G20" s="42"/>
      <c r="H20" s="140"/>
    </row>
    <row r="21" spans="1:8" ht="15">
      <c r="A21" s="32">
        <v>4</v>
      </c>
      <c r="B21" s="33" t="s">
        <v>41</v>
      </c>
      <c r="C21" s="31">
        <f>SUM(C22:C26)</f>
        <v>9773</v>
      </c>
      <c r="D21" s="31">
        <f>SUM(D22:D26)</f>
        <v>9773</v>
      </c>
      <c r="E21" s="31">
        <f>SUM(E22:E26)</f>
        <v>9182</v>
      </c>
      <c r="F21" s="31">
        <f>SUM(F22:F26)</f>
        <v>9182</v>
      </c>
      <c r="G21" s="42">
        <f>E21/C21*100</f>
        <v>93.95272690064463</v>
      </c>
      <c r="H21" s="140">
        <f>F21/D21</f>
        <v>0.9395272690064463</v>
      </c>
    </row>
    <row r="22" spans="1:8" ht="15.75">
      <c r="A22" s="32"/>
      <c r="B22" s="44" t="s">
        <v>186</v>
      </c>
      <c r="C22" s="31"/>
      <c r="D22" s="31"/>
      <c r="E22" s="31"/>
      <c r="F22" s="31"/>
      <c r="G22" s="42"/>
      <c r="H22" s="140"/>
    </row>
    <row r="23" spans="1:8" ht="15.75">
      <c r="A23" s="32"/>
      <c r="B23" s="44" t="s">
        <v>185</v>
      </c>
      <c r="C23" s="31">
        <v>6020</v>
      </c>
      <c r="D23" s="31">
        <f>C23</f>
        <v>6020</v>
      </c>
      <c r="E23" s="31">
        <v>5962</v>
      </c>
      <c r="F23" s="31">
        <f>E23</f>
        <v>5962</v>
      </c>
      <c r="G23" s="42">
        <f>E23/C23*100</f>
        <v>99.03654485049834</v>
      </c>
      <c r="H23" s="140">
        <f>F23/D23</f>
        <v>0.9903654485049834</v>
      </c>
    </row>
    <row r="24" spans="1:8" ht="15.75">
      <c r="A24" s="32"/>
      <c r="B24" s="44" t="s">
        <v>187</v>
      </c>
      <c r="C24" s="31">
        <v>700</v>
      </c>
      <c r="D24" s="31">
        <f>C24</f>
        <v>700</v>
      </c>
      <c r="E24" s="31">
        <v>700</v>
      </c>
      <c r="F24" s="31">
        <f>E24</f>
        <v>700</v>
      </c>
      <c r="G24" s="42">
        <f>E24/C24*100</f>
        <v>100</v>
      </c>
      <c r="H24" s="140">
        <f>F24/D24</f>
        <v>1</v>
      </c>
    </row>
    <row r="25" spans="1:8" ht="15.75">
      <c r="A25" s="32"/>
      <c r="B25" s="44" t="s">
        <v>188</v>
      </c>
      <c r="C25" s="31">
        <f>3244-206</f>
        <v>3038</v>
      </c>
      <c r="D25" s="31">
        <f>C25</f>
        <v>3038</v>
      </c>
      <c r="E25" s="31">
        <v>2500</v>
      </c>
      <c r="F25" s="31">
        <f>E25</f>
        <v>2500</v>
      </c>
      <c r="G25" s="42">
        <f>E25/C25*100</f>
        <v>82.29098090849243</v>
      </c>
      <c r="H25" s="140">
        <f>F25/D25</f>
        <v>0.8229098090849243</v>
      </c>
    </row>
    <row r="26" spans="1:8" ht="15.75">
      <c r="A26" s="32"/>
      <c r="B26" s="44" t="s">
        <v>305</v>
      </c>
      <c r="C26" s="31">
        <v>15</v>
      </c>
      <c r="D26" s="31">
        <f>C26</f>
        <v>15</v>
      </c>
      <c r="E26" s="31">
        <v>20</v>
      </c>
      <c r="F26" s="31">
        <f>E26</f>
        <v>20</v>
      </c>
      <c r="G26" s="42">
        <f>E26/C26*100</f>
        <v>133.33333333333331</v>
      </c>
      <c r="H26" s="140">
        <f>F26/D26</f>
        <v>1.3333333333333333</v>
      </c>
    </row>
    <row r="27" spans="1:8" ht="15">
      <c r="A27" s="32">
        <v>5</v>
      </c>
      <c r="B27" s="33" t="s">
        <v>42</v>
      </c>
      <c r="C27" s="31">
        <v>615</v>
      </c>
      <c r="D27" s="31">
        <f>C27</f>
        <v>615</v>
      </c>
      <c r="E27" s="31">
        <v>740</v>
      </c>
      <c r="F27" s="31">
        <f>E27</f>
        <v>740</v>
      </c>
      <c r="G27" s="42">
        <f>E27/C27*100</f>
        <v>120.32520325203254</v>
      </c>
      <c r="H27" s="140">
        <f>F27/D27</f>
        <v>1.2032520325203253</v>
      </c>
    </row>
    <row r="28" spans="1:8" ht="15">
      <c r="A28" s="32">
        <v>6</v>
      </c>
      <c r="B28" s="33" t="s">
        <v>111</v>
      </c>
      <c r="C28" s="31">
        <f>SUM(C29:C30)</f>
        <v>0</v>
      </c>
      <c r="D28" s="31">
        <f>SUM(D29:D30)</f>
        <v>0</v>
      </c>
      <c r="E28" s="31">
        <f>SUM(E29:E30)</f>
        <v>0</v>
      </c>
      <c r="F28" s="31">
        <f>SUM(F29:F30)</f>
        <v>0</v>
      </c>
      <c r="G28" s="42"/>
      <c r="H28" s="140"/>
    </row>
    <row r="29" spans="1:8" ht="30">
      <c r="A29" s="32" t="s">
        <v>8</v>
      </c>
      <c r="B29" s="43" t="s">
        <v>112</v>
      </c>
      <c r="C29" s="31"/>
      <c r="D29" s="31"/>
      <c r="E29" s="31"/>
      <c r="F29" s="31"/>
      <c r="G29" s="42"/>
      <c r="H29" s="140"/>
    </row>
    <row r="30" spans="1:8" ht="15">
      <c r="A30" s="32" t="s">
        <v>8</v>
      </c>
      <c r="B30" s="43" t="s">
        <v>74</v>
      </c>
      <c r="C30" s="31"/>
      <c r="D30" s="31"/>
      <c r="E30" s="31"/>
      <c r="F30" s="31"/>
      <c r="G30" s="42"/>
      <c r="H30" s="140"/>
    </row>
    <row r="31" spans="1:8" ht="15">
      <c r="A31" s="32">
        <v>7</v>
      </c>
      <c r="B31" s="33" t="s">
        <v>113</v>
      </c>
      <c r="C31" s="31">
        <v>1800</v>
      </c>
      <c r="D31" s="31">
        <f>C31</f>
        <v>1800</v>
      </c>
      <c r="E31" s="31">
        <v>1800</v>
      </c>
      <c r="F31" s="31">
        <f>E31</f>
        <v>1800</v>
      </c>
      <c r="G31" s="42">
        <f>E31/C31*100</f>
        <v>100</v>
      </c>
      <c r="H31" s="140">
        <f>F31/D31</f>
        <v>1</v>
      </c>
    </row>
    <row r="32" spans="1:8" ht="15">
      <c r="A32" s="32">
        <v>8</v>
      </c>
      <c r="B32" s="33" t="s">
        <v>66</v>
      </c>
      <c r="C32" s="31">
        <v>740</v>
      </c>
      <c r="D32" s="31">
        <f>550+53</f>
        <v>603</v>
      </c>
      <c r="E32" s="31">
        <f>748+11</f>
        <v>759</v>
      </c>
      <c r="F32" s="31">
        <v>498</v>
      </c>
      <c r="G32" s="42">
        <f>E32/C32*100</f>
        <v>102.56756756756758</v>
      </c>
      <c r="H32" s="140">
        <f>F32/D32</f>
        <v>0.8258706467661692</v>
      </c>
    </row>
    <row r="33" spans="1:8" ht="15">
      <c r="A33" s="32" t="s">
        <v>8</v>
      </c>
      <c r="B33" s="43" t="s">
        <v>114</v>
      </c>
      <c r="C33" s="31"/>
      <c r="D33" s="31"/>
      <c r="E33" s="31"/>
      <c r="F33" s="31"/>
      <c r="G33" s="42"/>
      <c r="H33" s="140"/>
    </row>
    <row r="34" spans="1:8" ht="15">
      <c r="A34" s="32" t="s">
        <v>8</v>
      </c>
      <c r="B34" s="43" t="s">
        <v>115</v>
      </c>
      <c r="C34" s="31"/>
      <c r="D34" s="31"/>
      <c r="E34" s="31"/>
      <c r="F34" s="31"/>
      <c r="G34" s="42"/>
      <c r="H34" s="140"/>
    </row>
    <row r="35" spans="1:8" ht="15">
      <c r="A35" s="32" t="s">
        <v>8</v>
      </c>
      <c r="B35" s="43" t="s">
        <v>116</v>
      </c>
      <c r="C35" s="31"/>
      <c r="D35" s="31"/>
      <c r="E35" s="31"/>
      <c r="F35" s="31"/>
      <c r="G35" s="42"/>
      <c r="H35" s="140"/>
    </row>
    <row r="36" spans="1:8" ht="15">
      <c r="A36" s="32" t="s">
        <v>8</v>
      </c>
      <c r="B36" s="43" t="s">
        <v>67</v>
      </c>
      <c r="C36" s="31"/>
      <c r="D36" s="31"/>
      <c r="E36" s="31"/>
      <c r="F36" s="31"/>
      <c r="G36" s="42"/>
      <c r="H36" s="140"/>
    </row>
    <row r="37" spans="1:8" ht="15">
      <c r="A37" s="32">
        <v>9</v>
      </c>
      <c r="B37" s="33" t="s">
        <v>68</v>
      </c>
      <c r="C37" s="31"/>
      <c r="D37" s="31"/>
      <c r="E37" s="31"/>
      <c r="F37" s="31"/>
      <c r="G37" s="42"/>
      <c r="H37" s="140"/>
    </row>
    <row r="38" spans="1:8" ht="15">
      <c r="A38" s="32">
        <v>10</v>
      </c>
      <c r="B38" s="33" t="s">
        <v>117</v>
      </c>
      <c r="C38" s="31">
        <v>2.618</v>
      </c>
      <c r="D38" s="31">
        <v>2</v>
      </c>
      <c r="E38" s="31">
        <v>3</v>
      </c>
      <c r="F38" s="31">
        <v>3</v>
      </c>
      <c r="G38" s="42">
        <f>E38/C38*100</f>
        <v>114.5912910618793</v>
      </c>
      <c r="H38" s="140">
        <f>F38/D38</f>
        <v>1.5</v>
      </c>
    </row>
    <row r="39" spans="1:8" ht="15">
      <c r="A39" s="32">
        <v>11</v>
      </c>
      <c r="B39" s="33" t="s">
        <v>69</v>
      </c>
      <c r="C39" s="31">
        <v>166.064</v>
      </c>
      <c r="D39" s="31"/>
      <c r="E39" s="31">
        <v>276</v>
      </c>
      <c r="F39" s="31"/>
      <c r="G39" s="42">
        <f>E39/C39*100</f>
        <v>166.20098275363716</v>
      </c>
      <c r="H39" s="140"/>
    </row>
    <row r="40" spans="1:8" ht="15">
      <c r="A40" s="32">
        <v>12</v>
      </c>
      <c r="B40" s="33" t="s">
        <v>129</v>
      </c>
      <c r="C40" s="31">
        <v>1850</v>
      </c>
      <c r="D40" s="31">
        <f>C40*30%</f>
        <v>555</v>
      </c>
      <c r="E40" s="31">
        <v>6390</v>
      </c>
      <c r="F40" s="31">
        <f>E40*30%</f>
        <v>1917</v>
      </c>
      <c r="G40" s="42">
        <f>E40/C40*100</f>
        <v>345.40540540540536</v>
      </c>
      <c r="H40" s="140">
        <f>F40/D40</f>
        <v>3.454054054054054</v>
      </c>
    </row>
    <row r="41" spans="1:8" ht="30">
      <c r="A41" s="32">
        <v>13</v>
      </c>
      <c r="B41" s="33" t="s">
        <v>130</v>
      </c>
      <c r="C41" s="31"/>
      <c r="D41" s="31"/>
      <c r="E41" s="31"/>
      <c r="F41" s="31"/>
      <c r="G41" s="42"/>
      <c r="H41" s="140"/>
    </row>
    <row r="42" spans="1:8" ht="15">
      <c r="A42" s="32">
        <v>14</v>
      </c>
      <c r="B42" s="33" t="s">
        <v>118</v>
      </c>
      <c r="C42" s="31"/>
      <c r="D42" s="31"/>
      <c r="E42" s="31"/>
      <c r="F42" s="31"/>
      <c r="G42" s="42"/>
      <c r="H42" s="140"/>
    </row>
    <row r="43" spans="1:8" ht="15">
      <c r="A43" s="32"/>
      <c r="B43" s="33" t="s">
        <v>65</v>
      </c>
      <c r="C43" s="31"/>
      <c r="D43" s="31"/>
      <c r="E43" s="31"/>
      <c r="F43" s="31"/>
      <c r="G43" s="42"/>
      <c r="H43" s="140"/>
    </row>
    <row r="44" spans="1:8" ht="15">
      <c r="A44" s="32">
        <v>15</v>
      </c>
      <c r="B44" s="33" t="s">
        <v>70</v>
      </c>
      <c r="C44" s="31">
        <v>200</v>
      </c>
      <c r="D44" s="31"/>
      <c r="E44" s="31">
        <v>10</v>
      </c>
      <c r="F44" s="31"/>
      <c r="G44" s="42">
        <f>E44/C44*100</f>
        <v>5</v>
      </c>
      <c r="H44" s="140"/>
    </row>
    <row r="45" spans="1:8" ht="15">
      <c r="A45" s="32">
        <v>16</v>
      </c>
      <c r="B45" s="33" t="s">
        <v>71</v>
      </c>
      <c r="C45" s="31">
        <v>11000</v>
      </c>
      <c r="D45" s="31">
        <v>340</v>
      </c>
      <c r="E45" s="31">
        <v>3000</v>
      </c>
      <c r="F45" s="31">
        <v>250</v>
      </c>
      <c r="G45" s="42">
        <f>E45/C45*100</f>
        <v>27.27272727272727</v>
      </c>
      <c r="H45" s="140">
        <f>F45/D45</f>
        <v>0.7352941176470589</v>
      </c>
    </row>
    <row r="46" spans="1:8" ht="15">
      <c r="A46" s="32">
        <v>17</v>
      </c>
      <c r="B46" s="33" t="s">
        <v>119</v>
      </c>
      <c r="C46" s="31"/>
      <c r="D46" s="31"/>
      <c r="E46" s="31"/>
      <c r="F46" s="31"/>
      <c r="G46" s="42"/>
      <c r="H46" s="42"/>
    </row>
    <row r="47" spans="1:8" ht="15">
      <c r="A47" s="32">
        <v>18</v>
      </c>
      <c r="B47" s="33" t="s">
        <v>72</v>
      </c>
      <c r="C47" s="31"/>
      <c r="D47" s="31"/>
      <c r="E47" s="31"/>
      <c r="F47" s="31"/>
      <c r="G47" s="42"/>
      <c r="H47" s="42"/>
    </row>
    <row r="48" spans="1:8" ht="48" customHeight="1">
      <c r="A48" s="32">
        <v>19</v>
      </c>
      <c r="B48" s="33" t="s">
        <v>120</v>
      </c>
      <c r="C48" s="31"/>
      <c r="D48" s="31"/>
      <c r="E48" s="31"/>
      <c r="F48" s="31"/>
      <c r="G48" s="42"/>
      <c r="H48" s="42"/>
    </row>
    <row r="49" spans="1:8" ht="15">
      <c r="A49" s="32">
        <v>20</v>
      </c>
      <c r="B49" s="33" t="s">
        <v>121</v>
      </c>
      <c r="C49" s="31"/>
      <c r="D49" s="31"/>
      <c r="E49" s="31"/>
      <c r="F49" s="31"/>
      <c r="G49" s="42"/>
      <c r="H49" s="42"/>
    </row>
    <row r="50" spans="1:8" s="37" customFormat="1" ht="14.25">
      <c r="A50" s="29" t="s">
        <v>11</v>
      </c>
      <c r="B50" s="30" t="s">
        <v>43</v>
      </c>
      <c r="C50" s="36"/>
      <c r="D50" s="36"/>
      <c r="E50" s="36"/>
      <c r="F50" s="36"/>
      <c r="G50" s="40"/>
      <c r="H50" s="40"/>
    </row>
    <row r="51" spans="1:8" s="37" customFormat="1" ht="14.25">
      <c r="A51" s="29" t="s">
        <v>12</v>
      </c>
      <c r="B51" s="30" t="s">
        <v>44</v>
      </c>
      <c r="C51" s="36">
        <f>SUM(C52:C57)</f>
        <v>18.5</v>
      </c>
      <c r="D51" s="36">
        <f>SUM(D52:D57)</f>
        <v>0</v>
      </c>
      <c r="E51" s="36">
        <f>SUM(E52:E57)</f>
        <v>0</v>
      </c>
      <c r="F51" s="36">
        <f>SUM(F52:F57)</f>
        <v>0</v>
      </c>
      <c r="G51" s="40"/>
      <c r="H51" s="40"/>
    </row>
    <row r="52" spans="1:8" ht="15">
      <c r="A52" s="32">
        <v>1</v>
      </c>
      <c r="B52" s="33" t="s">
        <v>122</v>
      </c>
      <c r="C52" s="31"/>
      <c r="D52" s="31"/>
      <c r="E52" s="31"/>
      <c r="F52" s="31"/>
      <c r="G52" s="42"/>
      <c r="H52" s="42"/>
    </row>
    <row r="53" spans="1:8" ht="15">
      <c r="A53" s="32">
        <v>2</v>
      </c>
      <c r="B53" s="33" t="s">
        <v>123</v>
      </c>
      <c r="C53" s="31"/>
      <c r="D53" s="31"/>
      <c r="E53" s="31"/>
      <c r="F53" s="31"/>
      <c r="G53" s="42"/>
      <c r="H53" s="42"/>
    </row>
    <row r="54" spans="1:8" ht="15">
      <c r="A54" s="32">
        <v>3</v>
      </c>
      <c r="B54" s="33" t="s">
        <v>73</v>
      </c>
      <c r="C54" s="31"/>
      <c r="D54" s="31"/>
      <c r="E54" s="31"/>
      <c r="F54" s="31"/>
      <c r="G54" s="42"/>
      <c r="H54" s="42"/>
    </row>
    <row r="55" spans="1:8" ht="15">
      <c r="A55" s="32">
        <v>4</v>
      </c>
      <c r="B55" s="33" t="s">
        <v>124</v>
      </c>
      <c r="C55" s="31"/>
      <c r="D55" s="31"/>
      <c r="E55" s="31"/>
      <c r="F55" s="31"/>
      <c r="G55" s="42"/>
      <c r="H55" s="42"/>
    </row>
    <row r="56" spans="1:8" ht="15">
      <c r="A56" s="32">
        <v>5</v>
      </c>
      <c r="B56" s="33" t="s">
        <v>125</v>
      </c>
      <c r="C56" s="31"/>
      <c r="D56" s="31"/>
      <c r="E56" s="31"/>
      <c r="F56" s="31"/>
      <c r="G56" s="42"/>
      <c r="H56" s="42"/>
    </row>
    <row r="57" spans="1:8" ht="15">
      <c r="A57" s="32">
        <v>6</v>
      </c>
      <c r="B57" s="33" t="s">
        <v>75</v>
      </c>
      <c r="C57" s="31">
        <v>18.5</v>
      </c>
      <c r="D57" s="31"/>
      <c r="E57" s="31"/>
      <c r="F57" s="31"/>
      <c r="G57" s="42"/>
      <c r="H57" s="42"/>
    </row>
    <row r="58" spans="1:8" s="37" customFormat="1" ht="14.25">
      <c r="A58" s="34" t="s">
        <v>13</v>
      </c>
      <c r="B58" s="35" t="s">
        <v>76</v>
      </c>
      <c r="C58" s="51"/>
      <c r="D58" s="51"/>
      <c r="E58" s="51"/>
      <c r="F58" s="51"/>
      <c r="G58" s="41"/>
      <c r="H58" s="41"/>
    </row>
    <row r="59" spans="1:8" s="37" customFormat="1" ht="14.25">
      <c r="A59" s="59"/>
      <c r="B59" s="60"/>
      <c r="C59" s="63"/>
      <c r="D59" s="63"/>
      <c r="E59" s="63"/>
      <c r="F59" s="63"/>
      <c r="G59" s="64"/>
      <c r="H59" s="64"/>
    </row>
    <row r="60" spans="1:8" s="37" customFormat="1" ht="14.25">
      <c r="A60" s="59"/>
      <c r="B60" s="60"/>
      <c r="C60" s="63"/>
      <c r="D60" s="63"/>
      <c r="E60" s="63"/>
      <c r="F60" s="63"/>
      <c r="G60" s="64"/>
      <c r="H60" s="64"/>
    </row>
    <row r="61" spans="1:8" s="37" customFormat="1" ht="14.25">
      <c r="A61" s="59"/>
      <c r="B61" s="60"/>
      <c r="C61" s="63"/>
      <c r="D61" s="63"/>
      <c r="E61" s="63"/>
      <c r="F61" s="63"/>
      <c r="G61" s="64"/>
      <c r="H61" s="64"/>
    </row>
    <row r="62" spans="1:8" s="37" customFormat="1" ht="14.25">
      <c r="A62" s="59"/>
      <c r="B62" s="60"/>
      <c r="C62" s="63"/>
      <c r="D62" s="63"/>
      <c r="E62" s="63"/>
      <c r="F62" s="63"/>
      <c r="G62" s="64"/>
      <c r="H62" s="64"/>
    </row>
    <row r="63" spans="1:8" s="37" customFormat="1" ht="14.25">
      <c r="A63" s="59"/>
      <c r="B63" s="60"/>
      <c r="C63" s="63"/>
      <c r="D63" s="63"/>
      <c r="E63" s="63"/>
      <c r="F63" s="63"/>
      <c r="G63" s="64"/>
      <c r="H63" s="64"/>
    </row>
    <row r="64" spans="1:8" s="37" customFormat="1" ht="14.25">
      <c r="A64" s="59"/>
      <c r="B64" s="60"/>
      <c r="C64" s="63"/>
      <c r="D64" s="63"/>
      <c r="E64" s="63"/>
      <c r="F64" s="63"/>
      <c r="G64" s="64"/>
      <c r="H64" s="64"/>
    </row>
    <row r="65" spans="1:8" s="37" customFormat="1" ht="14.25">
      <c r="A65" s="59"/>
      <c r="B65" s="60"/>
      <c r="C65" s="63"/>
      <c r="D65" s="63"/>
      <c r="E65" s="63"/>
      <c r="F65" s="63"/>
      <c r="G65" s="64"/>
      <c r="H65" s="64"/>
    </row>
    <row r="66" spans="1:8" s="37" customFormat="1" ht="14.25">
      <c r="A66" s="59"/>
      <c r="B66" s="60"/>
      <c r="C66" s="63"/>
      <c r="D66" s="63"/>
      <c r="E66" s="63"/>
      <c r="F66" s="63"/>
      <c r="G66" s="64"/>
      <c r="H66" s="64"/>
    </row>
    <row r="67" spans="1:8" s="37" customFormat="1" ht="14.25">
      <c r="A67" s="59"/>
      <c r="B67" s="60"/>
      <c r="C67" s="63"/>
      <c r="D67" s="63"/>
      <c r="E67" s="63"/>
      <c r="F67" s="63"/>
      <c r="G67" s="64"/>
      <c r="H67" s="64"/>
    </row>
    <row r="68" spans="1:8" s="37" customFormat="1" ht="14.25">
      <c r="A68" s="59"/>
      <c r="B68" s="60"/>
      <c r="C68" s="63"/>
      <c r="D68" s="63"/>
      <c r="E68" s="63"/>
      <c r="F68" s="63"/>
      <c r="G68" s="64"/>
      <c r="H68" s="64"/>
    </row>
    <row r="69" spans="1:8" s="37" customFormat="1" ht="14.25">
      <c r="A69" s="59"/>
      <c r="B69" s="60"/>
      <c r="C69" s="63"/>
      <c r="D69" s="63"/>
      <c r="E69" s="63"/>
      <c r="F69" s="63"/>
      <c r="G69" s="64"/>
      <c r="H69" s="64"/>
    </row>
    <row r="70" spans="1:8" s="37" customFormat="1" ht="14.25">
      <c r="A70" s="59"/>
      <c r="B70" s="60"/>
      <c r="C70" s="63"/>
      <c r="D70" s="63"/>
      <c r="E70" s="63"/>
      <c r="F70" s="63"/>
      <c r="G70" s="64"/>
      <c r="H70" s="64"/>
    </row>
    <row r="71" spans="1:8" s="37" customFormat="1" ht="14.25">
      <c r="A71" s="59"/>
      <c r="B71" s="60"/>
      <c r="C71" s="63"/>
      <c r="D71" s="63"/>
      <c r="E71" s="63"/>
      <c r="F71" s="63"/>
      <c r="G71" s="64"/>
      <c r="H71" s="64"/>
    </row>
    <row r="72" spans="1:8" s="37" customFormat="1" ht="14.25">
      <c r="A72" s="59"/>
      <c r="B72" s="60"/>
      <c r="C72" s="63"/>
      <c r="D72" s="63"/>
      <c r="E72" s="63"/>
      <c r="F72" s="63"/>
      <c r="G72" s="64"/>
      <c r="H72" s="64"/>
    </row>
    <row r="73" spans="1:8" s="37" customFormat="1" ht="14.25">
      <c r="A73" s="59"/>
      <c r="B73" s="60"/>
      <c r="C73" s="63"/>
      <c r="D73" s="63"/>
      <c r="E73" s="63"/>
      <c r="F73" s="63"/>
      <c r="G73" s="64"/>
      <c r="H73" s="64"/>
    </row>
    <row r="74" spans="1:8" s="37" customFormat="1" ht="14.25">
      <c r="A74" s="59"/>
      <c r="B74" s="60"/>
      <c r="C74" s="63"/>
      <c r="D74" s="63"/>
      <c r="E74" s="63"/>
      <c r="F74" s="63"/>
      <c r="G74" s="64"/>
      <c r="H74" s="64"/>
    </row>
    <row r="75" spans="1:8" s="37" customFormat="1" ht="14.25">
      <c r="A75" s="59"/>
      <c r="B75" s="60"/>
      <c r="C75" s="63"/>
      <c r="D75" s="63"/>
      <c r="E75" s="63"/>
      <c r="F75" s="63"/>
      <c r="G75" s="64"/>
      <c r="H75" s="64"/>
    </row>
    <row r="76" spans="1:8" s="37" customFormat="1" ht="14.25">
      <c r="A76" s="59"/>
      <c r="B76" s="60"/>
      <c r="C76" s="63"/>
      <c r="D76" s="63"/>
      <c r="E76" s="63"/>
      <c r="F76" s="63"/>
      <c r="G76" s="64"/>
      <c r="H76" s="64"/>
    </row>
    <row r="77" spans="1:8" s="37" customFormat="1" ht="14.25">
      <c r="A77" s="59"/>
      <c r="B77" s="60"/>
      <c r="C77" s="63"/>
      <c r="D77" s="63"/>
      <c r="E77" s="63"/>
      <c r="F77" s="63"/>
      <c r="G77" s="64"/>
      <c r="H77" s="64"/>
    </row>
    <row r="78" spans="1:8" s="37" customFormat="1" ht="14.25">
      <c r="A78" s="59"/>
      <c r="B78" s="60"/>
      <c r="C78" s="63"/>
      <c r="D78" s="63"/>
      <c r="E78" s="63"/>
      <c r="F78" s="63"/>
      <c r="G78" s="64"/>
      <c r="H78" s="64"/>
    </row>
    <row r="79" spans="1:8" s="37" customFormat="1" ht="14.25">
      <c r="A79" s="59"/>
      <c r="B79" s="60"/>
      <c r="C79" s="63"/>
      <c r="D79" s="63"/>
      <c r="E79" s="63"/>
      <c r="F79" s="63"/>
      <c r="G79" s="64"/>
      <c r="H79" s="64"/>
    </row>
    <row r="80" spans="1:8" s="37" customFormat="1" ht="14.25">
      <c r="A80" s="59"/>
      <c r="B80" s="60"/>
      <c r="C80" s="63"/>
      <c r="D80" s="63"/>
      <c r="E80" s="63"/>
      <c r="F80" s="63"/>
      <c r="G80" s="64"/>
      <c r="H80" s="64"/>
    </row>
    <row r="81" spans="1:8" s="37" customFormat="1" ht="14.25">
      <c r="A81" s="59"/>
      <c r="B81" s="60"/>
      <c r="C81" s="63"/>
      <c r="D81" s="63"/>
      <c r="E81" s="63"/>
      <c r="F81" s="63"/>
      <c r="G81" s="64"/>
      <c r="H81" s="64"/>
    </row>
    <row r="82" spans="1:8" s="37" customFormat="1" ht="14.25">
      <c r="A82" s="59"/>
      <c r="B82" s="60"/>
      <c r="C82" s="63"/>
      <c r="D82" s="63"/>
      <c r="E82" s="63"/>
      <c r="F82" s="63"/>
      <c r="G82" s="64"/>
      <c r="H82" s="64"/>
    </row>
    <row r="83" spans="1:8" s="37" customFormat="1" ht="14.25">
      <c r="A83" s="59"/>
      <c r="B83" s="60"/>
      <c r="C83" s="63"/>
      <c r="D83" s="63"/>
      <c r="E83" s="63"/>
      <c r="F83" s="63"/>
      <c r="G83" s="64"/>
      <c r="H83" s="64"/>
    </row>
    <row r="84" spans="1:8" s="37" customFormat="1" ht="14.25">
      <c r="A84" s="59"/>
      <c r="B84" s="60"/>
      <c r="C84" s="63"/>
      <c r="D84" s="63"/>
      <c r="E84" s="63"/>
      <c r="F84" s="63"/>
      <c r="G84" s="64"/>
      <c r="H84" s="64"/>
    </row>
    <row r="85" spans="1:8" s="37" customFormat="1" ht="14.25">
      <c r="A85" s="59"/>
      <c r="B85" s="60"/>
      <c r="C85" s="63"/>
      <c r="D85" s="63"/>
      <c r="E85" s="63"/>
      <c r="F85" s="63"/>
      <c r="G85" s="64"/>
      <c r="H85" s="64"/>
    </row>
    <row r="86" spans="1:8" s="37" customFormat="1" ht="14.25">
      <c r="A86" s="59"/>
      <c r="B86" s="60"/>
      <c r="C86" s="63"/>
      <c r="D86" s="63"/>
      <c r="E86" s="63"/>
      <c r="F86" s="63"/>
      <c r="G86" s="64"/>
      <c r="H86" s="64"/>
    </row>
    <row r="87" spans="1:8" s="37" customFormat="1" ht="14.25">
      <c r="A87" s="59"/>
      <c r="B87" s="60"/>
      <c r="C87" s="63"/>
      <c r="D87" s="63"/>
      <c r="E87" s="63"/>
      <c r="F87" s="63"/>
      <c r="G87" s="64"/>
      <c r="H87" s="64"/>
    </row>
    <row r="88" spans="1:8" s="37" customFormat="1" ht="14.25">
      <c r="A88" s="59"/>
      <c r="B88" s="60"/>
      <c r="C88" s="63"/>
      <c r="D88" s="63"/>
      <c r="E88" s="63"/>
      <c r="F88" s="63"/>
      <c r="G88" s="64"/>
      <c r="H88" s="64"/>
    </row>
    <row r="89" spans="1:8" s="37" customFormat="1" ht="14.25">
      <c r="A89" s="59"/>
      <c r="B89" s="60"/>
      <c r="C89" s="63"/>
      <c r="D89" s="63"/>
      <c r="E89" s="63"/>
      <c r="F89" s="63"/>
      <c r="G89" s="64"/>
      <c r="H89" s="64"/>
    </row>
    <row r="90" spans="1:8" s="37" customFormat="1" ht="14.25">
      <c r="A90" s="59"/>
      <c r="B90" s="60"/>
      <c r="C90" s="63"/>
      <c r="D90" s="63"/>
      <c r="E90" s="63"/>
      <c r="F90" s="63"/>
      <c r="G90" s="64"/>
      <c r="H90" s="64"/>
    </row>
    <row r="91" spans="1:8" s="37" customFormat="1" ht="14.25">
      <c r="A91" s="59"/>
      <c r="B91" s="60"/>
      <c r="C91" s="63"/>
      <c r="D91" s="63"/>
      <c r="E91" s="63"/>
      <c r="F91" s="63"/>
      <c r="G91" s="64"/>
      <c r="H91" s="64"/>
    </row>
    <row r="92" spans="1:8" s="37" customFormat="1" ht="14.25">
      <c r="A92" s="59"/>
      <c r="B92" s="60"/>
      <c r="C92" s="63"/>
      <c r="D92" s="63"/>
      <c r="E92" s="63"/>
      <c r="F92" s="63"/>
      <c r="G92" s="64"/>
      <c r="H92" s="64"/>
    </row>
    <row r="93" spans="1:8" s="37" customFormat="1" ht="14.25">
      <c r="A93" s="59"/>
      <c r="B93" s="60"/>
      <c r="C93" s="63"/>
      <c r="D93" s="63"/>
      <c r="E93" s="63"/>
      <c r="F93" s="63"/>
      <c r="G93" s="64"/>
      <c r="H93" s="64"/>
    </row>
    <row r="94" spans="1:8" s="37" customFormat="1" ht="14.25">
      <c r="A94" s="59"/>
      <c r="B94" s="60"/>
      <c r="C94" s="63"/>
      <c r="D94" s="63"/>
      <c r="E94" s="63"/>
      <c r="F94" s="63"/>
      <c r="G94" s="64"/>
      <c r="H94" s="64"/>
    </row>
    <row r="95" spans="1:8" s="37" customFormat="1" ht="14.25">
      <c r="A95" s="59"/>
      <c r="B95" s="60"/>
      <c r="C95" s="63"/>
      <c r="D95" s="63"/>
      <c r="E95" s="63"/>
      <c r="F95" s="63"/>
      <c r="G95" s="64"/>
      <c r="H95" s="64"/>
    </row>
    <row r="96" spans="1:8" s="37" customFormat="1" ht="14.25">
      <c r="A96" s="59"/>
      <c r="B96" s="60"/>
      <c r="C96" s="63"/>
      <c r="D96" s="63"/>
      <c r="E96" s="63"/>
      <c r="F96" s="63"/>
      <c r="G96" s="64"/>
      <c r="H96" s="64"/>
    </row>
    <row r="97" spans="1:8" s="37" customFormat="1" ht="14.25">
      <c r="A97" s="59"/>
      <c r="B97" s="60"/>
      <c r="C97" s="63"/>
      <c r="D97" s="63"/>
      <c r="E97" s="63"/>
      <c r="F97" s="63"/>
      <c r="G97" s="64"/>
      <c r="H97" s="64"/>
    </row>
    <row r="98" spans="1:8" s="37" customFormat="1" ht="14.25">
      <c r="A98" s="59"/>
      <c r="B98" s="60"/>
      <c r="C98" s="63"/>
      <c r="D98" s="63"/>
      <c r="E98" s="63"/>
      <c r="F98" s="63"/>
      <c r="G98" s="64"/>
      <c r="H98" s="64"/>
    </row>
    <row r="99" spans="1:8" s="37" customFormat="1" ht="14.25">
      <c r="A99" s="59"/>
      <c r="B99" s="60"/>
      <c r="C99" s="63"/>
      <c r="D99" s="63"/>
      <c r="E99" s="63"/>
      <c r="F99" s="63"/>
      <c r="G99" s="64"/>
      <c r="H99" s="64"/>
    </row>
    <row r="100" spans="1:8" s="37" customFormat="1" ht="14.25">
      <c r="A100" s="59"/>
      <c r="B100" s="60"/>
      <c r="C100" s="63"/>
      <c r="D100" s="63"/>
      <c r="E100" s="63"/>
      <c r="F100" s="63"/>
      <c r="G100" s="64"/>
      <c r="H100" s="64"/>
    </row>
    <row r="101" spans="1:8" s="37" customFormat="1" ht="14.25">
      <c r="A101" s="59"/>
      <c r="B101" s="60"/>
      <c r="C101" s="63"/>
      <c r="D101" s="63"/>
      <c r="E101" s="63"/>
      <c r="F101" s="63"/>
      <c r="G101" s="64"/>
      <c r="H101" s="64"/>
    </row>
    <row r="102" spans="1:8" s="37" customFormat="1" ht="14.25">
      <c r="A102" s="59"/>
      <c r="B102" s="60"/>
      <c r="C102" s="63"/>
      <c r="D102" s="63"/>
      <c r="E102" s="63"/>
      <c r="F102" s="63"/>
      <c r="G102" s="64"/>
      <c r="H102" s="64"/>
    </row>
    <row r="103" spans="1:8" s="37" customFormat="1" ht="14.25">
      <c r="A103" s="59"/>
      <c r="B103" s="60"/>
      <c r="C103" s="63"/>
      <c r="D103" s="63"/>
      <c r="E103" s="63"/>
      <c r="F103" s="63"/>
      <c r="G103" s="64"/>
      <c r="H103" s="64"/>
    </row>
    <row r="104" spans="1:8" s="37" customFormat="1" ht="14.25">
      <c r="A104" s="59"/>
      <c r="B104" s="60"/>
      <c r="C104" s="63"/>
      <c r="D104" s="63"/>
      <c r="E104" s="63"/>
      <c r="F104" s="63"/>
      <c r="G104" s="64"/>
      <c r="H104" s="64"/>
    </row>
    <row r="105" spans="1:8" s="37" customFormat="1" ht="14.25">
      <c r="A105" s="59"/>
      <c r="B105" s="60"/>
      <c r="C105" s="63"/>
      <c r="D105" s="63"/>
      <c r="E105" s="63"/>
      <c r="F105" s="63"/>
      <c r="G105" s="64"/>
      <c r="H105" s="64"/>
    </row>
    <row r="106" spans="1:8" s="37" customFormat="1" ht="14.25">
      <c r="A106" s="59"/>
      <c r="B106" s="60"/>
      <c r="C106" s="63"/>
      <c r="D106" s="63"/>
      <c r="E106" s="63"/>
      <c r="F106" s="63"/>
      <c r="G106" s="64"/>
      <c r="H106" s="64"/>
    </row>
    <row r="107" spans="1:8" s="37" customFormat="1" ht="14.25">
      <c r="A107" s="59"/>
      <c r="B107" s="60"/>
      <c r="C107" s="63"/>
      <c r="D107" s="63"/>
      <c r="E107" s="63"/>
      <c r="F107" s="63"/>
      <c r="G107" s="64"/>
      <c r="H107" s="64"/>
    </row>
    <row r="108" spans="1:8" s="37" customFormat="1" ht="14.25">
      <c r="A108" s="59"/>
      <c r="B108" s="60"/>
      <c r="C108" s="63"/>
      <c r="D108" s="63"/>
      <c r="E108" s="63"/>
      <c r="F108" s="63"/>
      <c r="G108" s="64"/>
      <c r="H108" s="64"/>
    </row>
    <row r="109" spans="1:8" s="37" customFormat="1" ht="14.25">
      <c r="A109" s="59"/>
      <c r="B109" s="60"/>
      <c r="C109" s="63"/>
      <c r="D109" s="63"/>
      <c r="E109" s="63"/>
      <c r="F109" s="63"/>
      <c r="G109" s="64"/>
      <c r="H109" s="64"/>
    </row>
    <row r="110" spans="1:8" s="37" customFormat="1" ht="14.25">
      <c r="A110" s="59"/>
      <c r="B110" s="60"/>
      <c r="C110" s="63"/>
      <c r="D110" s="63"/>
      <c r="E110" s="63"/>
      <c r="F110" s="63"/>
      <c r="G110" s="64"/>
      <c r="H110" s="64"/>
    </row>
    <row r="111" ht="18.75" customHeight="1">
      <c r="A111" s="4" t="s">
        <v>45</v>
      </c>
    </row>
    <row r="112" spans="1:8" ht="35.25" customHeight="1">
      <c r="A112" s="467" t="s">
        <v>126</v>
      </c>
      <c r="B112" s="467"/>
      <c r="C112" s="467"/>
      <c r="D112" s="467"/>
      <c r="E112" s="467"/>
      <c r="F112" s="467"/>
      <c r="G112" s="467"/>
      <c r="H112" s="467"/>
    </row>
    <row r="113" spans="1:8" ht="35.25" customHeight="1">
      <c r="A113" s="467" t="s">
        <v>127</v>
      </c>
      <c r="B113" s="467"/>
      <c r="C113" s="467"/>
      <c r="D113" s="467"/>
      <c r="E113" s="467"/>
      <c r="F113" s="467"/>
      <c r="G113" s="467"/>
      <c r="H113" s="467"/>
    </row>
    <row r="114" spans="1:8" ht="35.25" customHeight="1">
      <c r="A114" s="467" t="s">
        <v>128</v>
      </c>
      <c r="B114" s="467"/>
      <c r="C114" s="467"/>
      <c r="D114" s="467"/>
      <c r="E114" s="467"/>
      <c r="F114" s="467"/>
      <c r="G114" s="467"/>
      <c r="H114" s="467"/>
    </row>
    <row r="115" spans="1:8" ht="35.25" customHeight="1">
      <c r="A115" s="467" t="s">
        <v>77</v>
      </c>
      <c r="B115" s="467"/>
      <c r="C115" s="467"/>
      <c r="D115" s="467"/>
      <c r="E115" s="467"/>
      <c r="F115" s="467"/>
      <c r="G115" s="467"/>
      <c r="H115" s="467"/>
    </row>
    <row r="116" spans="1:8" ht="65.25" customHeight="1">
      <c r="A116" s="467" t="s">
        <v>78</v>
      </c>
      <c r="B116" s="467"/>
      <c r="C116" s="467"/>
      <c r="D116" s="467"/>
      <c r="E116" s="467"/>
      <c r="F116" s="467"/>
      <c r="G116" s="467"/>
      <c r="H116" s="467"/>
    </row>
  </sheetData>
  <sheetProtection/>
  <mergeCells count="15">
    <mergeCell ref="E5:F5"/>
    <mergeCell ref="G5:H5"/>
    <mergeCell ref="A3:H3"/>
    <mergeCell ref="A114:H114"/>
    <mergeCell ref="A115:H115"/>
    <mergeCell ref="E1:H1"/>
    <mergeCell ref="A1:B1"/>
    <mergeCell ref="A116:H116"/>
    <mergeCell ref="A2:H2"/>
    <mergeCell ref="A112:H112"/>
    <mergeCell ref="A113:H113"/>
    <mergeCell ref="A5:A6"/>
    <mergeCell ref="B5:B6"/>
    <mergeCell ref="C5:D5"/>
    <mergeCell ref="F4:H4"/>
  </mergeCells>
  <printOptions/>
  <pageMargins left="0.6" right="0.2" top="0.46" bottom="0.32"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G52"/>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D31" sqref="D31"/>
    </sheetView>
  </sheetViews>
  <sheetFormatPr defaultColWidth="9.125" defaultRowHeight="14.25"/>
  <cols>
    <col min="1" max="1" width="6.125" style="3" customWidth="1"/>
    <col min="2" max="2" width="44.625" style="3" customWidth="1"/>
    <col min="3" max="4" width="9.125" style="3" customWidth="1"/>
    <col min="5" max="6" width="8.00390625" style="3" customWidth="1"/>
    <col min="7" max="16384" width="9.125" style="3" customWidth="1"/>
  </cols>
  <sheetData>
    <row r="1" spans="1:6" ht="15" customHeight="1">
      <c r="A1" s="471"/>
      <c r="B1" s="471"/>
      <c r="C1" s="58"/>
      <c r="D1" s="472" t="s">
        <v>131</v>
      </c>
      <c r="E1" s="472"/>
      <c r="F1" s="472"/>
    </row>
    <row r="2" spans="1:6" ht="18.75">
      <c r="A2" s="470" t="s">
        <v>376</v>
      </c>
      <c r="B2" s="470"/>
      <c r="C2" s="470"/>
      <c r="D2" s="470"/>
      <c r="E2" s="470"/>
      <c r="F2" s="470"/>
    </row>
    <row r="3" spans="1:7" ht="36.75" customHeight="1">
      <c r="A3" s="474" t="str">
        <f>'15'!A3:G33</f>
        <v>(Kèm theo Tờ trình số         /TTr-HĐND  ngày        tháng 12 năm 2022 của UBND huyện Hạ Lang)</v>
      </c>
      <c r="B3" s="474"/>
      <c r="C3" s="474"/>
      <c r="D3" s="474"/>
      <c r="E3" s="474"/>
      <c r="F3" s="474"/>
      <c r="G3" s="79"/>
    </row>
    <row r="4" spans="5:6" ht="15">
      <c r="E4" s="478" t="s">
        <v>9</v>
      </c>
      <c r="F4" s="478"/>
    </row>
    <row r="5" spans="1:6" ht="15">
      <c r="A5" s="475" t="s">
        <v>4</v>
      </c>
      <c r="B5" s="475" t="s">
        <v>5</v>
      </c>
      <c r="C5" s="475" t="s">
        <v>298</v>
      </c>
      <c r="D5" s="475" t="s">
        <v>373</v>
      </c>
      <c r="E5" s="475" t="s">
        <v>28</v>
      </c>
      <c r="F5" s="475"/>
    </row>
    <row r="6" spans="1:6" ht="28.5">
      <c r="A6" s="475"/>
      <c r="B6" s="475"/>
      <c r="C6" s="475"/>
      <c r="D6" s="475"/>
      <c r="E6" s="2" t="s">
        <v>29</v>
      </c>
      <c r="F6" s="2" t="s">
        <v>79</v>
      </c>
    </row>
    <row r="7" spans="1:6" ht="15">
      <c r="A7" s="2" t="s">
        <v>6</v>
      </c>
      <c r="B7" s="2" t="s">
        <v>7</v>
      </c>
      <c r="C7" s="2">
        <v>1</v>
      </c>
      <c r="D7" s="2">
        <v>2</v>
      </c>
      <c r="E7" s="2" t="s">
        <v>54</v>
      </c>
      <c r="F7" s="2" t="s">
        <v>55</v>
      </c>
    </row>
    <row r="8" spans="1:6" s="52" customFormat="1" ht="14.25">
      <c r="A8" s="27"/>
      <c r="B8" s="28" t="s">
        <v>18</v>
      </c>
      <c r="C8" s="38">
        <f>C9+C28+C34</f>
        <v>326123</v>
      </c>
      <c r="D8" s="38">
        <f>D9+D28+D34</f>
        <v>514920</v>
      </c>
      <c r="E8" s="80">
        <f>D8-C8</f>
        <v>188797</v>
      </c>
      <c r="F8" s="138">
        <f>D8/C8</f>
        <v>1.5789134774302946</v>
      </c>
    </row>
    <row r="9" spans="1:7" s="52" customFormat="1" ht="14.25">
      <c r="A9" s="29" t="s">
        <v>6</v>
      </c>
      <c r="B9" s="30" t="s">
        <v>80</v>
      </c>
      <c r="C9" s="36">
        <f>C10+C20+C24+C25+C26+C27</f>
        <v>325123</v>
      </c>
      <c r="D9" s="36">
        <f>D10+D20+D24+D25+D26+D27</f>
        <v>324240</v>
      </c>
      <c r="E9" s="81">
        <f aca="true" t="shared" si="0" ref="E9:E33">D9-C9</f>
        <v>-883</v>
      </c>
      <c r="F9" s="139">
        <f>D9/C9</f>
        <v>0.9972841047849583</v>
      </c>
      <c r="G9" s="246"/>
    </row>
    <row r="10" spans="1:6" s="52" customFormat="1" ht="14.25">
      <c r="A10" s="29" t="s">
        <v>15</v>
      </c>
      <c r="B10" s="30" t="s">
        <v>19</v>
      </c>
      <c r="C10" s="36">
        <f>C11+C19</f>
        <v>60115</v>
      </c>
      <c r="D10" s="36">
        <f>D11+D19</f>
        <v>16113</v>
      </c>
      <c r="E10" s="36">
        <f>E11+E19</f>
        <v>-44002</v>
      </c>
      <c r="F10" s="139">
        <f>D10/C10</f>
        <v>0.26803626382766366</v>
      </c>
    </row>
    <row r="11" spans="1:6" ht="15">
      <c r="A11" s="32">
        <v>1</v>
      </c>
      <c r="B11" s="33" t="s">
        <v>81</v>
      </c>
      <c r="C11" s="31">
        <f>10115+50000</f>
        <v>60115</v>
      </c>
      <c r="D11" s="31">
        <f>14196+1917</f>
        <v>16113</v>
      </c>
      <c r="E11" s="82">
        <f t="shared" si="0"/>
        <v>-44002</v>
      </c>
      <c r="F11" s="140">
        <f>D11/C11</f>
        <v>0.26803626382766366</v>
      </c>
    </row>
    <row r="12" spans="1:6" ht="15">
      <c r="A12" s="32"/>
      <c r="B12" s="43" t="s">
        <v>132</v>
      </c>
      <c r="C12" s="31"/>
      <c r="D12" s="31"/>
      <c r="E12" s="82">
        <f t="shared" si="0"/>
        <v>0</v>
      </c>
      <c r="F12" s="139"/>
    </row>
    <row r="13" spans="1:6" ht="15">
      <c r="A13" s="32" t="s">
        <v>8</v>
      </c>
      <c r="B13" s="43" t="s">
        <v>83</v>
      </c>
      <c r="C13" s="31"/>
      <c r="D13" s="31"/>
      <c r="E13" s="82">
        <f t="shared" si="0"/>
        <v>0</v>
      </c>
      <c r="F13" s="139"/>
    </row>
    <row r="14" spans="1:6" ht="15">
      <c r="A14" s="32" t="s">
        <v>8</v>
      </c>
      <c r="B14" s="43" t="s">
        <v>84</v>
      </c>
      <c r="C14" s="31"/>
      <c r="D14" s="31"/>
      <c r="E14" s="82">
        <f t="shared" si="0"/>
        <v>0</v>
      </c>
      <c r="F14" s="139"/>
    </row>
    <row r="15" spans="1:6" ht="15">
      <c r="A15" s="32"/>
      <c r="B15" s="43" t="s">
        <v>85</v>
      </c>
      <c r="C15" s="31"/>
      <c r="D15" s="31"/>
      <c r="E15" s="82">
        <f t="shared" si="0"/>
        <v>0</v>
      </c>
      <c r="F15" s="139"/>
    </row>
    <row r="16" spans="1:6" ht="15">
      <c r="A16" s="32" t="s">
        <v>8</v>
      </c>
      <c r="B16" s="43" t="s">
        <v>196</v>
      </c>
      <c r="C16" s="31"/>
      <c r="D16" s="31"/>
      <c r="E16" s="82">
        <f t="shared" si="0"/>
        <v>0</v>
      </c>
      <c r="F16" s="139"/>
    </row>
    <row r="17" spans="1:6" ht="15">
      <c r="A17" s="32" t="s">
        <v>8</v>
      </c>
      <c r="B17" s="43" t="s">
        <v>87</v>
      </c>
      <c r="C17" s="31"/>
      <c r="D17" s="31"/>
      <c r="E17" s="82">
        <f t="shared" si="0"/>
        <v>0</v>
      </c>
      <c r="F17" s="139"/>
    </row>
    <row r="18" spans="1:6" ht="60">
      <c r="A18" s="32">
        <v>2</v>
      </c>
      <c r="B18" s="33" t="s">
        <v>88</v>
      </c>
      <c r="C18" s="31"/>
      <c r="D18" s="31"/>
      <c r="E18" s="82">
        <f t="shared" si="0"/>
        <v>0</v>
      </c>
      <c r="F18" s="139"/>
    </row>
    <row r="19" spans="1:6" ht="15">
      <c r="A19" s="32">
        <v>3</v>
      </c>
      <c r="B19" s="33" t="s">
        <v>89</v>
      </c>
      <c r="C19" s="31"/>
      <c r="D19" s="31"/>
      <c r="E19" s="82">
        <f t="shared" si="0"/>
        <v>0</v>
      </c>
      <c r="F19" s="139"/>
    </row>
    <row r="20" spans="1:6" s="52" customFormat="1" ht="14.25">
      <c r="A20" s="29" t="s">
        <v>11</v>
      </c>
      <c r="B20" s="30" t="s">
        <v>20</v>
      </c>
      <c r="C20" s="36">
        <f>308645-50000</f>
        <v>258645</v>
      </c>
      <c r="D20" s="36">
        <f>301807</f>
        <v>301807</v>
      </c>
      <c r="E20" s="81">
        <f t="shared" si="0"/>
        <v>43162</v>
      </c>
      <c r="F20" s="139">
        <f>D20/C20</f>
        <v>1.1668773801929286</v>
      </c>
    </row>
    <row r="21" spans="1:6" ht="15">
      <c r="A21" s="32"/>
      <c r="B21" s="43" t="s">
        <v>27</v>
      </c>
      <c r="C21" s="31"/>
      <c r="D21" s="31"/>
      <c r="E21" s="82">
        <f t="shared" si="0"/>
        <v>0</v>
      </c>
      <c r="F21" s="139"/>
    </row>
    <row r="22" spans="1:6" ht="15">
      <c r="A22" s="32">
        <v>1</v>
      </c>
      <c r="B22" s="43" t="s">
        <v>83</v>
      </c>
      <c r="C22" s="31">
        <v>111410</v>
      </c>
      <c r="D22" s="31">
        <f>119243+528</f>
        <v>119771</v>
      </c>
      <c r="E22" s="82">
        <f t="shared" si="0"/>
        <v>8361</v>
      </c>
      <c r="F22" s="140">
        <f>D22/C22</f>
        <v>1.0750471232384884</v>
      </c>
    </row>
    <row r="23" spans="1:6" ht="15">
      <c r="A23" s="32">
        <v>2</v>
      </c>
      <c r="B23" s="43" t="s">
        <v>133</v>
      </c>
      <c r="C23" s="31"/>
      <c r="D23" s="31"/>
      <c r="E23" s="82">
        <f t="shared" si="0"/>
        <v>0</v>
      </c>
      <c r="F23" s="139"/>
    </row>
    <row r="24" spans="1:6" ht="28.5">
      <c r="A24" s="29" t="s">
        <v>12</v>
      </c>
      <c r="B24" s="30" t="s">
        <v>97</v>
      </c>
      <c r="C24" s="31"/>
      <c r="D24" s="31"/>
      <c r="E24" s="82">
        <f t="shared" si="0"/>
        <v>0</v>
      </c>
      <c r="F24" s="139"/>
    </row>
    <row r="25" spans="1:6" ht="15">
      <c r="A25" s="29" t="s">
        <v>13</v>
      </c>
      <c r="B25" s="30" t="s">
        <v>98</v>
      </c>
      <c r="C25" s="31"/>
      <c r="D25" s="31"/>
      <c r="E25" s="82">
        <f t="shared" si="0"/>
        <v>0</v>
      </c>
      <c r="F25" s="139"/>
    </row>
    <row r="26" spans="1:6" s="52" customFormat="1" ht="14.25">
      <c r="A26" s="29" t="s">
        <v>24</v>
      </c>
      <c r="B26" s="30" t="s">
        <v>34</v>
      </c>
      <c r="C26" s="36">
        <v>6363</v>
      </c>
      <c r="D26" s="36">
        <v>6320</v>
      </c>
      <c r="E26" s="81">
        <f t="shared" si="0"/>
        <v>-43</v>
      </c>
      <c r="F26" s="139">
        <f>D26/C26</f>
        <v>0.9932421813609933</v>
      </c>
    </row>
    <row r="27" spans="1:6" ht="15">
      <c r="A27" s="29" t="s">
        <v>90</v>
      </c>
      <c r="B27" s="30" t="s">
        <v>21</v>
      </c>
      <c r="C27" s="31"/>
      <c r="D27" s="31"/>
      <c r="E27" s="82">
        <f t="shared" si="0"/>
        <v>0</v>
      </c>
      <c r="F27" s="139"/>
    </row>
    <row r="28" spans="1:6" s="52" customFormat="1" ht="14.25">
      <c r="A28" s="29" t="s">
        <v>7</v>
      </c>
      <c r="B28" s="30" t="s">
        <v>91</v>
      </c>
      <c r="C28" s="36">
        <f>C29+C33</f>
        <v>1000</v>
      </c>
      <c r="D28" s="36">
        <f>D29+D33</f>
        <v>190680</v>
      </c>
      <c r="E28" s="81">
        <f>D28-C28</f>
        <v>189680</v>
      </c>
      <c r="F28" s="139">
        <f>D28/C28</f>
        <v>190.68</v>
      </c>
    </row>
    <row r="29" spans="1:7" s="52" customFormat="1" ht="14.25">
      <c r="A29" s="29" t="s">
        <v>15</v>
      </c>
      <c r="B29" s="30" t="s">
        <v>35</v>
      </c>
      <c r="C29" s="36">
        <f>SUM(C30:C32)</f>
        <v>0</v>
      </c>
      <c r="D29" s="36">
        <f>SUM(D30:D32)</f>
        <v>190680</v>
      </c>
      <c r="E29" s="36">
        <f>SUM(E30:E32)</f>
        <v>190680</v>
      </c>
      <c r="F29" s="139"/>
      <c r="G29" s="52">
        <v>183676</v>
      </c>
    </row>
    <row r="30" spans="1:7" ht="15">
      <c r="A30" s="32">
        <v>1</v>
      </c>
      <c r="B30" s="33" t="s">
        <v>191</v>
      </c>
      <c r="C30" s="31"/>
      <c r="D30" s="31">
        <v>75197</v>
      </c>
      <c r="E30" s="82">
        <f t="shared" si="0"/>
        <v>75197</v>
      </c>
      <c r="F30" s="139"/>
      <c r="G30" s="282">
        <f>E29-G29</f>
        <v>7004</v>
      </c>
    </row>
    <row r="31" spans="1:6" ht="15">
      <c r="A31" s="32">
        <v>2</v>
      </c>
      <c r="B31" s="33" t="s">
        <v>192</v>
      </c>
      <c r="C31" s="31"/>
      <c r="D31" s="31">
        <f>1570-200</f>
        <v>1370</v>
      </c>
      <c r="E31" s="82">
        <f t="shared" si="0"/>
        <v>1370</v>
      </c>
      <c r="F31" s="139"/>
    </row>
    <row r="32" spans="1:6" ht="30">
      <c r="A32" s="32">
        <v>3</v>
      </c>
      <c r="B32" s="33" t="s">
        <v>377</v>
      </c>
      <c r="C32" s="31"/>
      <c r="D32" s="31">
        <f>115569-1456</f>
        <v>114113</v>
      </c>
      <c r="E32" s="82">
        <f t="shared" si="0"/>
        <v>114113</v>
      </c>
      <c r="F32" s="139"/>
    </row>
    <row r="33" spans="1:6" s="52" customFormat="1" ht="14.25">
      <c r="A33" s="29" t="s">
        <v>11</v>
      </c>
      <c r="B33" s="30" t="s">
        <v>36</v>
      </c>
      <c r="C33" s="36">
        <v>1000</v>
      </c>
      <c r="D33" s="36"/>
      <c r="E33" s="81">
        <f t="shared" si="0"/>
        <v>-1000</v>
      </c>
      <c r="F33" s="139">
        <f>D33/C33</f>
        <v>0</v>
      </c>
    </row>
    <row r="34" spans="1:6" ht="15.75" customHeight="1">
      <c r="A34" s="34" t="s">
        <v>14</v>
      </c>
      <c r="B34" s="35" t="s">
        <v>134</v>
      </c>
      <c r="C34" s="83"/>
      <c r="D34" s="83"/>
      <c r="E34" s="84"/>
      <c r="F34" s="141"/>
    </row>
    <row r="35" spans="1:6" ht="15.75" customHeight="1">
      <c r="A35" s="65"/>
      <c r="B35" s="66"/>
      <c r="C35" s="67"/>
      <c r="D35" s="67"/>
      <c r="E35" s="68"/>
      <c r="F35" s="69"/>
    </row>
    <row r="36" spans="1:6" ht="15.75" customHeight="1">
      <c r="A36" s="65"/>
      <c r="B36" s="66"/>
      <c r="C36" s="67"/>
      <c r="D36" s="67"/>
      <c r="E36" s="68"/>
      <c r="F36" s="69"/>
    </row>
    <row r="37" spans="1:6" ht="15.75" customHeight="1">
      <c r="A37" s="65"/>
      <c r="B37" s="66"/>
      <c r="C37" s="67"/>
      <c r="D37" s="67"/>
      <c r="E37" s="68"/>
      <c r="F37" s="69"/>
    </row>
    <row r="38" spans="1:6" ht="15.75" customHeight="1">
      <c r="A38" s="65"/>
      <c r="B38" s="66"/>
      <c r="C38" s="67"/>
      <c r="D38" s="67"/>
      <c r="E38" s="68"/>
      <c r="F38" s="69"/>
    </row>
    <row r="39" spans="1:6" ht="15.75" customHeight="1">
      <c r="A39" s="65"/>
      <c r="B39" s="66"/>
      <c r="C39" s="67"/>
      <c r="D39" s="67"/>
      <c r="E39" s="68"/>
      <c r="F39" s="69"/>
    </row>
    <row r="40" spans="1:6" ht="15.75" customHeight="1">
      <c r="A40" s="65"/>
      <c r="B40" s="66"/>
      <c r="C40" s="67"/>
      <c r="D40" s="67"/>
      <c r="E40" s="68"/>
      <c r="F40" s="69"/>
    </row>
    <row r="41" spans="1:6" ht="15.75" customHeight="1">
      <c r="A41" s="65"/>
      <c r="B41" s="66"/>
      <c r="C41" s="67"/>
      <c r="D41" s="67"/>
      <c r="E41" s="68"/>
      <c r="F41" s="69"/>
    </row>
    <row r="42" spans="1:6" ht="15.75" customHeight="1">
      <c r="A42" s="65"/>
      <c r="B42" s="66"/>
      <c r="C42" s="67"/>
      <c r="D42" s="67"/>
      <c r="E42" s="68"/>
      <c r="F42" s="69"/>
    </row>
    <row r="43" spans="1:6" ht="15.75" customHeight="1">
      <c r="A43" s="65"/>
      <c r="B43" s="66"/>
      <c r="C43" s="67"/>
      <c r="D43" s="67"/>
      <c r="E43" s="68"/>
      <c r="F43" s="69"/>
    </row>
    <row r="44" spans="1:6" ht="15.75" customHeight="1">
      <c r="A44" s="65"/>
      <c r="B44" s="66"/>
      <c r="C44" s="67"/>
      <c r="D44" s="67"/>
      <c r="E44" s="68"/>
      <c r="F44" s="69"/>
    </row>
    <row r="45" spans="1:6" ht="15.75" customHeight="1">
      <c r="A45" s="65"/>
      <c r="B45" s="66"/>
      <c r="C45" s="67"/>
      <c r="D45" s="67"/>
      <c r="E45" s="68"/>
      <c r="F45" s="69"/>
    </row>
    <row r="46" spans="1:6" ht="15.75" customHeight="1">
      <c r="A46" s="65"/>
      <c r="B46" s="66"/>
      <c r="C46" s="67"/>
      <c r="D46" s="67"/>
      <c r="E46" s="68"/>
      <c r="F46" s="69"/>
    </row>
    <row r="47" spans="1:6" ht="15.75" customHeight="1">
      <c r="A47" s="65"/>
      <c r="B47" s="66"/>
      <c r="C47" s="67"/>
      <c r="D47" s="67"/>
      <c r="E47" s="68"/>
      <c r="F47" s="69"/>
    </row>
    <row r="48" spans="1:6" ht="15.75" customHeight="1">
      <c r="A48" s="65"/>
      <c r="B48" s="66"/>
      <c r="C48" s="67"/>
      <c r="D48" s="67"/>
      <c r="E48" s="68"/>
      <c r="F48" s="69"/>
    </row>
    <row r="49" spans="1:6" ht="15.75" customHeight="1">
      <c r="A49" s="65"/>
      <c r="B49" s="66"/>
      <c r="C49" s="67"/>
      <c r="D49" s="67"/>
      <c r="E49" s="68"/>
      <c r="F49" s="69"/>
    </row>
    <row r="50" ht="15.75" customHeight="1">
      <c r="A50" s="5" t="s">
        <v>136</v>
      </c>
    </row>
    <row r="51" spans="1:6" s="6" customFormat="1" ht="68.25" customHeight="1">
      <c r="A51" s="477" t="s">
        <v>137</v>
      </c>
      <c r="B51" s="477"/>
      <c r="C51" s="477"/>
      <c r="D51" s="477"/>
      <c r="E51" s="477"/>
      <c r="F51" s="477"/>
    </row>
    <row r="52" spans="1:6" s="6" customFormat="1" ht="36" customHeight="1">
      <c r="A52" s="477" t="s">
        <v>135</v>
      </c>
      <c r="B52" s="477"/>
      <c r="C52" s="477"/>
      <c r="D52" s="477"/>
      <c r="E52" s="477"/>
      <c r="F52" s="477"/>
    </row>
  </sheetData>
  <sheetProtection/>
  <mergeCells count="12">
    <mergeCell ref="A52:F52"/>
    <mergeCell ref="A5:A6"/>
    <mergeCell ref="B5:B6"/>
    <mergeCell ref="C5:C6"/>
    <mergeCell ref="D5:D6"/>
    <mergeCell ref="E5:F5"/>
    <mergeCell ref="A1:B1"/>
    <mergeCell ref="D1:F1"/>
    <mergeCell ref="A51:F51"/>
    <mergeCell ref="A2:F2"/>
    <mergeCell ref="E4:F4"/>
    <mergeCell ref="A3:F3"/>
  </mergeCells>
  <printOptions/>
  <pageMargins left="0.7" right="0.33"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I45"/>
  <sheetViews>
    <sheetView zoomScalePageLayoutView="0" workbookViewId="0" topLeftCell="A1">
      <pane xSplit="2" ySplit="9" topLeftCell="C19" activePane="bottomRight" state="frozen"/>
      <selection pane="topLeft" activeCell="A1" sqref="A1"/>
      <selection pane="topRight" activeCell="C1" sqref="C1"/>
      <selection pane="bottomLeft" activeCell="A10" sqref="A10"/>
      <selection pane="bottomRight" activeCell="K22" sqref="K22"/>
    </sheetView>
  </sheetViews>
  <sheetFormatPr defaultColWidth="9.00390625" defaultRowHeight="14.25"/>
  <cols>
    <col min="1" max="1" width="5.875" style="0" customWidth="1"/>
    <col min="2" max="2" width="41.25390625" style="0" customWidth="1"/>
    <col min="4" max="4" width="8.25390625" style="0" customWidth="1"/>
    <col min="5" max="5" width="9.875" style="0" bestFit="1" customWidth="1"/>
    <col min="6" max="6" width="8.00390625" style="0" customWidth="1"/>
    <col min="7" max="7" width="7.125" style="0" customWidth="1"/>
  </cols>
  <sheetData>
    <row r="1" spans="1:7" ht="16.5">
      <c r="A1" s="471"/>
      <c r="B1" s="471"/>
      <c r="G1" s="7" t="s">
        <v>158</v>
      </c>
    </row>
    <row r="2" spans="1:7" ht="17.25" customHeight="1">
      <c r="A2" s="480" t="s">
        <v>378</v>
      </c>
      <c r="B2" s="480"/>
      <c r="C2" s="480"/>
      <c r="D2" s="480"/>
      <c r="E2" s="480"/>
      <c r="F2" s="480"/>
      <c r="G2" s="480"/>
    </row>
    <row r="3" spans="1:7" ht="18" customHeight="1">
      <c r="A3" s="474" t="str">
        <f>'15'!A3:G3</f>
        <v>(Kèm theo Tờ trình số         /TTr-HĐND  ngày        tháng 12 năm 2022 của UBND huyện Hạ Lang)</v>
      </c>
      <c r="B3" s="474"/>
      <c r="C3" s="474"/>
      <c r="D3" s="474"/>
      <c r="E3" s="474"/>
      <c r="F3" s="474"/>
      <c r="G3" s="474"/>
    </row>
    <row r="4" spans="5:7" ht="15.75">
      <c r="E4" s="482" t="s">
        <v>9</v>
      </c>
      <c r="F4" s="482"/>
      <c r="G4" s="482"/>
    </row>
    <row r="5" spans="1:7" ht="24.75" customHeight="1">
      <c r="A5" s="481" t="s">
        <v>4</v>
      </c>
      <c r="B5" s="481" t="s">
        <v>5</v>
      </c>
      <c r="C5" s="481" t="s">
        <v>298</v>
      </c>
      <c r="D5" s="481" t="s">
        <v>372</v>
      </c>
      <c r="E5" s="481" t="s">
        <v>373</v>
      </c>
      <c r="F5" s="481" t="s">
        <v>92</v>
      </c>
      <c r="G5" s="481"/>
    </row>
    <row r="6" spans="1:7" ht="42.75" customHeight="1">
      <c r="A6" s="481"/>
      <c r="B6" s="481"/>
      <c r="C6" s="481"/>
      <c r="D6" s="481"/>
      <c r="E6" s="481"/>
      <c r="F6" s="10" t="s">
        <v>29</v>
      </c>
      <c r="G6" s="10" t="s">
        <v>79</v>
      </c>
    </row>
    <row r="7" spans="1:7" ht="18.75" customHeight="1">
      <c r="A7" s="10" t="s">
        <v>6</v>
      </c>
      <c r="B7" s="10" t="s">
        <v>7</v>
      </c>
      <c r="C7" s="10">
        <v>1</v>
      </c>
      <c r="D7" s="10">
        <v>2</v>
      </c>
      <c r="E7" s="10">
        <v>3</v>
      </c>
      <c r="F7" s="10">
        <v>4</v>
      </c>
      <c r="G7" s="10">
        <v>5</v>
      </c>
    </row>
    <row r="8" spans="1:7" s="13" customFormat="1" ht="18.75" customHeight="1">
      <c r="A8" s="14" t="s">
        <v>6</v>
      </c>
      <c r="B8" s="15" t="s">
        <v>0</v>
      </c>
      <c r="C8" s="16"/>
      <c r="D8" s="16"/>
      <c r="E8" s="16"/>
      <c r="F8" s="16"/>
      <c r="G8" s="47"/>
    </row>
    <row r="9" spans="1:9" s="13" customFormat="1" ht="18.75" customHeight="1">
      <c r="A9" s="17" t="s">
        <v>15</v>
      </c>
      <c r="B9" s="18" t="s">
        <v>159</v>
      </c>
      <c r="C9" s="19">
        <f>C10+C11+C14+C15+C16</f>
        <v>324923</v>
      </c>
      <c r="D9" s="19">
        <f>D10+D11+D14+D15+D16</f>
        <v>482018.449</v>
      </c>
      <c r="E9" s="19">
        <f>E10+E11+E14+E15+E16</f>
        <v>513598</v>
      </c>
      <c r="F9" s="19">
        <f>E9-D9</f>
        <v>31579.550999999978</v>
      </c>
      <c r="G9" s="142">
        <f>E9/D9</f>
        <v>1.0655152330071913</v>
      </c>
      <c r="H9" s="26">
        <f>D9-D17</f>
        <v>0.44900000002235174</v>
      </c>
      <c r="I9" s="26"/>
    </row>
    <row r="10" spans="1:7" s="12" customFormat="1" ht="18.75" customHeight="1">
      <c r="A10" s="20">
        <v>1</v>
      </c>
      <c r="B10" s="21" t="s">
        <v>46</v>
      </c>
      <c r="C10" s="22">
        <f>13133+630-1200</f>
        <v>12563</v>
      </c>
      <c r="D10" s="22">
        <f>'15'!D10-D26</f>
        <v>12334</v>
      </c>
      <c r="E10" s="22">
        <f>'15'!E10-E26</f>
        <v>13068</v>
      </c>
      <c r="F10" s="22">
        <f>E10-D10</f>
        <v>734</v>
      </c>
      <c r="G10" s="142">
        <f aca="true" t="shared" si="0" ref="G10:G33">E10/D10</f>
        <v>1.0595102967407166</v>
      </c>
    </row>
    <row r="11" spans="1:9" s="12" customFormat="1" ht="18.75" customHeight="1">
      <c r="A11" s="20">
        <v>2</v>
      </c>
      <c r="B11" s="21" t="s">
        <v>47</v>
      </c>
      <c r="C11" s="22">
        <f>SUM(C12:C13)</f>
        <v>312360</v>
      </c>
      <c r="D11" s="22">
        <f>SUM(D12:D13)</f>
        <v>451024.398</v>
      </c>
      <c r="E11" s="22">
        <f>SUM(E12:E13)</f>
        <v>493304</v>
      </c>
      <c r="F11" s="22">
        <f>E11-D11</f>
        <v>42279.60200000001</v>
      </c>
      <c r="G11" s="142">
        <f t="shared" si="0"/>
        <v>1.0937412747236792</v>
      </c>
      <c r="I11" s="85"/>
    </row>
    <row r="12" spans="1:9" s="12" customFormat="1" ht="18.75" customHeight="1">
      <c r="A12" s="20" t="s">
        <v>8</v>
      </c>
      <c r="B12" s="21" t="s">
        <v>31</v>
      </c>
      <c r="C12" s="86">
        <v>311360</v>
      </c>
      <c r="D12" s="86">
        <f>'15'!D14</f>
        <v>314160</v>
      </c>
      <c r="E12" s="86">
        <f>'15'!E14</f>
        <v>302624</v>
      </c>
      <c r="F12" s="22">
        <f>E12-D12</f>
        <v>-11536</v>
      </c>
      <c r="G12" s="142">
        <f t="shared" si="0"/>
        <v>0.9632798573975044</v>
      </c>
      <c r="I12" s="85"/>
    </row>
    <row r="13" spans="1:8" s="12" customFormat="1" ht="18.75" customHeight="1">
      <c r="A13" s="20" t="s">
        <v>8</v>
      </c>
      <c r="B13" s="21" t="s">
        <v>16</v>
      </c>
      <c r="C13" s="86">
        <v>1000</v>
      </c>
      <c r="D13" s="86">
        <f>'15'!D15</f>
        <v>136864.398</v>
      </c>
      <c r="E13" s="86">
        <f>'15'!E15</f>
        <v>190680</v>
      </c>
      <c r="F13" s="22">
        <f>E13-D13</f>
        <v>53815.60200000001</v>
      </c>
      <c r="G13" s="142">
        <f t="shared" si="0"/>
        <v>1.3932038045423618</v>
      </c>
      <c r="H13"/>
    </row>
    <row r="14" spans="1:7" s="12" customFormat="1" ht="18.75" customHeight="1">
      <c r="A14" s="20">
        <v>3</v>
      </c>
      <c r="B14" s="21" t="s">
        <v>138</v>
      </c>
      <c r="C14" s="22"/>
      <c r="D14" s="22"/>
      <c r="E14" s="22"/>
      <c r="F14" s="22"/>
      <c r="G14" s="142"/>
    </row>
    <row r="15" spans="1:7" s="12" customFormat="1" ht="18.75" customHeight="1">
      <c r="A15" s="20">
        <v>4</v>
      </c>
      <c r="B15" s="21" t="s">
        <v>48</v>
      </c>
      <c r="C15" s="22"/>
      <c r="D15" s="22">
        <f>'15'!D17</f>
        <v>317.351</v>
      </c>
      <c r="E15" s="22"/>
      <c r="F15" s="22"/>
      <c r="G15" s="142">
        <f t="shared" si="0"/>
        <v>0</v>
      </c>
    </row>
    <row r="16" spans="1:7" s="12" customFormat="1" ht="18.75" customHeight="1">
      <c r="A16" s="20">
        <v>5</v>
      </c>
      <c r="B16" s="21" t="s">
        <v>33</v>
      </c>
      <c r="C16" s="22"/>
      <c r="D16" s="22">
        <f>'15'!D18</f>
        <v>18342.7</v>
      </c>
      <c r="E16" s="22">
        <v>7226</v>
      </c>
      <c r="F16" s="22"/>
      <c r="G16" s="142">
        <f t="shared" si="0"/>
        <v>0.39394418488008853</v>
      </c>
    </row>
    <row r="17" spans="1:9" s="13" customFormat="1" ht="18.75" customHeight="1">
      <c r="A17" s="17" t="s">
        <v>11</v>
      </c>
      <c r="B17" s="18" t="s">
        <v>49</v>
      </c>
      <c r="C17" s="19">
        <f>C18+C19+C21+C22</f>
        <v>324923</v>
      </c>
      <c r="D17" s="19">
        <f>D18+D19+D22</f>
        <v>482018</v>
      </c>
      <c r="E17" s="19">
        <f>E18+E19+E21+E22</f>
        <v>513598</v>
      </c>
      <c r="F17" s="19">
        <f>E17-D17</f>
        <v>31580</v>
      </c>
      <c r="G17" s="142">
        <f t="shared" si="0"/>
        <v>1.065516225535146</v>
      </c>
      <c r="H17" s="26"/>
      <c r="I17" s="26"/>
    </row>
    <row r="18" spans="1:9" s="12" customFormat="1" ht="18.75" customHeight="1">
      <c r="A18" s="20">
        <v>1</v>
      </c>
      <c r="B18" s="21" t="s">
        <v>1</v>
      </c>
      <c r="C18" s="22">
        <f>324923-C19-C21</f>
        <v>274119</v>
      </c>
      <c r="D18" s="22">
        <f>440145-13050</f>
        <v>427095</v>
      </c>
      <c r="E18" s="22">
        <f>'15'!E19-'30'!E19-'30'!E22-'30'!E26</f>
        <v>461785.095</v>
      </c>
      <c r="F18" s="22">
        <f>E18-D18</f>
        <v>34690.09499999997</v>
      </c>
      <c r="G18" s="142">
        <f t="shared" si="0"/>
        <v>1.081223369507955</v>
      </c>
      <c r="I18" s="85"/>
    </row>
    <row r="19" spans="1:7" s="12" customFormat="1" ht="18.75" customHeight="1">
      <c r="A19" s="20">
        <v>2</v>
      </c>
      <c r="B19" s="21" t="s">
        <v>52</v>
      </c>
      <c r="C19" s="22">
        <f>C20</f>
        <v>49804</v>
      </c>
      <c r="D19" s="22">
        <f>SUM(D20:D21)</f>
        <v>54923</v>
      </c>
      <c r="E19" s="22">
        <f>E20</f>
        <v>51812.905</v>
      </c>
      <c r="F19" s="22">
        <f>E19-D19</f>
        <v>-3110.095000000001</v>
      </c>
      <c r="G19" s="142">
        <f t="shared" si="0"/>
        <v>0.9433735411394133</v>
      </c>
    </row>
    <row r="20" spans="1:7" s="12" customFormat="1" ht="18.75" customHeight="1">
      <c r="A20" s="20" t="s">
        <v>8</v>
      </c>
      <c r="B20" s="21" t="s">
        <v>50</v>
      </c>
      <c r="C20" s="22">
        <v>49804</v>
      </c>
      <c r="D20" s="22">
        <f>D28</f>
        <v>50385</v>
      </c>
      <c r="E20" s="22">
        <f>50765.215+1047.69</f>
        <v>51812.905</v>
      </c>
      <c r="F20" s="22">
        <f>E20-D20</f>
        <v>1427.9049999999988</v>
      </c>
      <c r="G20" s="142">
        <f t="shared" si="0"/>
        <v>1.0283398829016572</v>
      </c>
    </row>
    <row r="21" spans="1:7" s="12" customFormat="1" ht="18.75" customHeight="1">
      <c r="A21" s="20" t="s">
        <v>8</v>
      </c>
      <c r="B21" s="21" t="s">
        <v>51</v>
      </c>
      <c r="C21" s="22">
        <v>1000</v>
      </c>
      <c r="D21" s="22">
        <f>D29</f>
        <v>4538</v>
      </c>
      <c r="E21" s="22"/>
      <c r="F21" s="22"/>
      <c r="G21" s="142">
        <f t="shared" si="0"/>
        <v>0</v>
      </c>
    </row>
    <row r="22" spans="1:7" s="12" customFormat="1" ht="18.75" customHeight="1">
      <c r="A22" s="20">
        <v>3</v>
      </c>
      <c r="B22" s="21" t="s">
        <v>37</v>
      </c>
      <c r="C22" s="22"/>
      <c r="D22" s="22"/>
      <c r="E22" s="22"/>
      <c r="F22" s="22"/>
      <c r="G22" s="142"/>
    </row>
    <row r="23" spans="1:7" ht="18.75" customHeight="1">
      <c r="A23" s="17" t="s">
        <v>12</v>
      </c>
      <c r="B23" s="18" t="s">
        <v>160</v>
      </c>
      <c r="C23" s="22"/>
      <c r="D23" s="22"/>
      <c r="E23" s="22"/>
      <c r="F23" s="22"/>
      <c r="G23" s="142"/>
    </row>
    <row r="24" spans="1:7" s="13" customFormat="1" ht="18.75" customHeight="1">
      <c r="A24" s="17" t="s">
        <v>7</v>
      </c>
      <c r="B24" s="18" t="s">
        <v>2</v>
      </c>
      <c r="C24" s="19"/>
      <c r="D24" s="19"/>
      <c r="E24" s="19"/>
      <c r="F24" s="22"/>
      <c r="G24" s="142"/>
    </row>
    <row r="25" spans="1:8" s="13" customFormat="1" ht="18.75" customHeight="1">
      <c r="A25" s="17" t="s">
        <v>15</v>
      </c>
      <c r="B25" s="18" t="s">
        <v>159</v>
      </c>
      <c r="C25" s="19">
        <f>C26+C27+C30+C31</f>
        <v>51004</v>
      </c>
      <c r="D25" s="19">
        <f>D26+D27+D30+D31</f>
        <v>56277</v>
      </c>
      <c r="E25" s="19">
        <f>E26+E27+E30+E31</f>
        <v>53134.905</v>
      </c>
      <c r="F25" s="19">
        <f>E25-D25</f>
        <v>-3142.095000000001</v>
      </c>
      <c r="G25" s="142">
        <f t="shared" si="0"/>
        <v>0.9441673330134869</v>
      </c>
      <c r="H25" s="13">
        <v>53134</v>
      </c>
    </row>
    <row r="26" spans="1:8" s="12" customFormat="1" ht="18.75" customHeight="1">
      <c r="A26" s="20">
        <v>1</v>
      </c>
      <c r="B26" s="21" t="s">
        <v>46</v>
      </c>
      <c r="C26" s="22">
        <v>1200</v>
      </c>
      <c r="D26" s="22">
        <v>1354</v>
      </c>
      <c r="E26" s="22">
        <v>1322</v>
      </c>
      <c r="F26" s="22">
        <f>E26-D26</f>
        <v>-32</v>
      </c>
      <c r="G26" s="142">
        <f t="shared" si="0"/>
        <v>0.9763663220088626</v>
      </c>
      <c r="H26" s="85"/>
    </row>
    <row r="27" spans="1:7" s="12" customFormat="1" ht="18.75" customHeight="1">
      <c r="A27" s="20">
        <v>2</v>
      </c>
      <c r="B27" s="21" t="s">
        <v>47</v>
      </c>
      <c r="C27" s="22">
        <f>SUM(C28:C29)</f>
        <v>49804</v>
      </c>
      <c r="D27" s="22">
        <f>SUM(D28:D29)</f>
        <v>54923</v>
      </c>
      <c r="E27" s="22">
        <f>SUM(E28:E29)</f>
        <v>51812.905</v>
      </c>
      <c r="F27" s="22">
        <f>E27-D27</f>
        <v>-3110.095000000001</v>
      </c>
      <c r="G27" s="142">
        <f t="shared" si="0"/>
        <v>0.9433735411394133</v>
      </c>
    </row>
    <row r="28" spans="1:7" s="12" customFormat="1" ht="18.75" customHeight="1">
      <c r="A28" s="20" t="s">
        <v>8</v>
      </c>
      <c r="B28" s="21" t="s">
        <v>31</v>
      </c>
      <c r="C28" s="22">
        <v>49804</v>
      </c>
      <c r="D28" s="22">
        <v>50385</v>
      </c>
      <c r="E28" s="22">
        <f>E20</f>
        <v>51812.905</v>
      </c>
      <c r="F28" s="22">
        <f>E28-D28</f>
        <v>1427.9049999999988</v>
      </c>
      <c r="G28" s="142">
        <f t="shared" si="0"/>
        <v>1.0283398829016572</v>
      </c>
    </row>
    <row r="29" spans="1:7" s="12" customFormat="1" ht="18.75" customHeight="1">
      <c r="A29" s="20" t="s">
        <v>8</v>
      </c>
      <c r="B29" s="21" t="s">
        <v>16</v>
      </c>
      <c r="C29" s="22"/>
      <c r="D29" s="22">
        <v>4538</v>
      </c>
      <c r="E29" s="22"/>
      <c r="F29" s="22"/>
      <c r="G29" s="142"/>
    </row>
    <row r="30" spans="1:7" s="12" customFormat="1" ht="18.75" customHeight="1">
      <c r="A30" s="20">
        <v>3</v>
      </c>
      <c r="B30" s="21" t="s">
        <v>48</v>
      </c>
      <c r="C30" s="22"/>
      <c r="D30" s="22"/>
      <c r="E30" s="22"/>
      <c r="F30" s="22"/>
      <c r="G30" s="142"/>
    </row>
    <row r="31" spans="1:7" s="12" customFormat="1" ht="18.75" customHeight="1">
      <c r="A31" s="20">
        <v>4</v>
      </c>
      <c r="B31" s="21" t="s">
        <v>33</v>
      </c>
      <c r="C31" s="22"/>
      <c r="D31" s="22"/>
      <c r="E31" s="22"/>
      <c r="F31" s="22"/>
      <c r="G31" s="142"/>
    </row>
    <row r="32" spans="1:7" s="13" customFormat="1" ht="18.75" customHeight="1">
      <c r="A32" s="17" t="s">
        <v>11</v>
      </c>
      <c r="B32" s="18" t="s">
        <v>161</v>
      </c>
      <c r="C32" s="19">
        <f>C33+C34+C37</f>
        <v>51004</v>
      </c>
      <c r="D32" s="19">
        <f>D33+D34+D37</f>
        <v>56277</v>
      </c>
      <c r="E32" s="19">
        <f>E33+E34+E37</f>
        <v>53134.905</v>
      </c>
      <c r="F32" s="19">
        <f>E32-D32</f>
        <v>-3142.095000000001</v>
      </c>
      <c r="G32" s="142">
        <f t="shared" si="0"/>
        <v>0.9441673330134869</v>
      </c>
    </row>
    <row r="33" spans="1:7" s="12" customFormat="1" ht="18.75" customHeight="1">
      <c r="A33" s="20">
        <v>1</v>
      </c>
      <c r="B33" s="21" t="s">
        <v>3</v>
      </c>
      <c r="C33" s="22">
        <f>C25</f>
        <v>51004</v>
      </c>
      <c r="D33" s="22">
        <f>D25</f>
        <v>56277</v>
      </c>
      <c r="E33" s="22">
        <f>E25</f>
        <v>53134.905</v>
      </c>
      <c r="F33" s="22">
        <f>E33-D33</f>
        <v>-3142.095000000001</v>
      </c>
      <c r="G33" s="142">
        <f t="shared" si="0"/>
        <v>0.9441673330134869</v>
      </c>
    </row>
    <row r="34" spans="1:7" s="12" customFormat="1" ht="18.75" customHeight="1">
      <c r="A34" s="20">
        <v>2</v>
      </c>
      <c r="B34" s="21" t="s">
        <v>162</v>
      </c>
      <c r="C34" s="22"/>
      <c r="D34" s="22"/>
      <c r="E34" s="22"/>
      <c r="F34" s="22"/>
      <c r="G34" s="48"/>
    </row>
    <row r="35" spans="1:7" s="12" customFormat="1" ht="18.75" customHeight="1">
      <c r="A35" s="20" t="s">
        <v>8</v>
      </c>
      <c r="B35" s="21" t="s">
        <v>50</v>
      </c>
      <c r="C35" s="22"/>
      <c r="D35" s="22"/>
      <c r="E35" s="22"/>
      <c r="F35" s="22"/>
      <c r="G35" s="48"/>
    </row>
    <row r="36" spans="1:7" s="12" customFormat="1" ht="18.75" customHeight="1">
      <c r="A36" s="20" t="s">
        <v>8</v>
      </c>
      <c r="B36" s="21" t="s">
        <v>51</v>
      </c>
      <c r="C36" s="22"/>
      <c r="D36" s="22"/>
      <c r="E36" s="22"/>
      <c r="F36" s="22"/>
      <c r="G36" s="48"/>
    </row>
    <row r="37" spans="1:7" s="12" customFormat="1" ht="18.75" customHeight="1">
      <c r="A37" s="23">
        <v>3</v>
      </c>
      <c r="B37" s="24" t="s">
        <v>37</v>
      </c>
      <c r="C37" s="25"/>
      <c r="D37" s="25"/>
      <c r="E37" s="25"/>
      <c r="F37" s="25"/>
      <c r="G37" s="49"/>
    </row>
    <row r="38" spans="1:7" s="12" customFormat="1" ht="18.75" customHeight="1">
      <c r="A38" s="70"/>
      <c r="B38" s="71"/>
      <c r="C38" s="72"/>
      <c r="D38" s="72"/>
      <c r="E38" s="72"/>
      <c r="F38" s="72"/>
      <c r="G38" s="73"/>
    </row>
    <row r="39" spans="1:7" s="12" customFormat="1" ht="18.75" customHeight="1">
      <c r="A39" s="70"/>
      <c r="B39" s="71"/>
      <c r="C39" s="72"/>
      <c r="D39" s="72"/>
      <c r="E39" s="72"/>
      <c r="F39" s="72"/>
      <c r="G39" s="73"/>
    </row>
    <row r="40" spans="1:7" s="12" customFormat="1" ht="18.75" customHeight="1">
      <c r="A40" s="70"/>
      <c r="B40" s="71"/>
      <c r="C40" s="72"/>
      <c r="D40" s="72"/>
      <c r="E40" s="72"/>
      <c r="F40" s="72"/>
      <c r="G40" s="73"/>
    </row>
    <row r="41" spans="1:7" s="12" customFormat="1" ht="18.75" customHeight="1">
      <c r="A41" s="70"/>
      <c r="B41" s="71"/>
      <c r="C41" s="72"/>
      <c r="D41" s="72"/>
      <c r="E41" s="72"/>
      <c r="F41" s="72"/>
      <c r="G41" s="73"/>
    </row>
    <row r="42" ht="24" customHeight="1">
      <c r="A42" s="9" t="s">
        <v>164</v>
      </c>
    </row>
    <row r="43" spans="1:7" s="12" customFormat="1" ht="34.5" customHeight="1">
      <c r="A43" s="479" t="s">
        <v>165</v>
      </c>
      <c r="B43" s="479"/>
      <c r="C43" s="479"/>
      <c r="D43" s="479"/>
      <c r="E43" s="479"/>
      <c r="F43" s="479"/>
      <c r="G43" s="479"/>
    </row>
    <row r="44" spans="1:7" ht="21" customHeight="1">
      <c r="A44" s="479" t="s">
        <v>163</v>
      </c>
      <c r="B44" s="479"/>
      <c r="C44" s="479"/>
      <c r="D44" s="479"/>
      <c r="E44" s="479"/>
      <c r="F44" s="479"/>
      <c r="G44" s="479"/>
    </row>
    <row r="45" spans="1:7" ht="40.5" customHeight="1">
      <c r="A45" s="479" t="s">
        <v>107</v>
      </c>
      <c r="B45" s="479"/>
      <c r="C45" s="479"/>
      <c r="D45" s="479"/>
      <c r="E45" s="479"/>
      <c r="F45" s="479"/>
      <c r="G45" s="479"/>
    </row>
  </sheetData>
  <sheetProtection/>
  <mergeCells count="13">
    <mergeCell ref="A1:B1"/>
    <mergeCell ref="E4:G4"/>
    <mergeCell ref="F5:G5"/>
    <mergeCell ref="A43:G43"/>
    <mergeCell ref="A44:G44"/>
    <mergeCell ref="A45:G45"/>
    <mergeCell ref="A2:G2"/>
    <mergeCell ref="A5:A6"/>
    <mergeCell ref="B5:B6"/>
    <mergeCell ref="C5:C6"/>
    <mergeCell ref="D5:D6"/>
    <mergeCell ref="E5:E6"/>
    <mergeCell ref="A3:G3"/>
  </mergeCells>
  <printOptions/>
  <pageMargins left="0.4" right="0.2" top="0.49" bottom="0.39"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P29"/>
  <sheetViews>
    <sheetView zoomScalePageLayoutView="0" workbookViewId="0" topLeftCell="A1">
      <selection activeCell="S7" sqref="S7"/>
    </sheetView>
  </sheetViews>
  <sheetFormatPr defaultColWidth="9.00390625" defaultRowHeight="14.25"/>
  <cols>
    <col min="1" max="1" width="4.125" style="183" customWidth="1"/>
    <col min="2" max="2" width="17.00390625" style="183" customWidth="1"/>
    <col min="3" max="3" width="10.375" style="183" customWidth="1"/>
    <col min="4" max="4" width="10.125" style="183" customWidth="1"/>
    <col min="5" max="5" width="8.125" style="183" customWidth="1"/>
    <col min="6" max="6" width="9.00390625" style="183" customWidth="1"/>
    <col min="7" max="7" width="10.75390625" style="183" customWidth="1"/>
    <col min="8" max="8" width="9.75390625" style="183" customWidth="1"/>
    <col min="9" max="9" width="7.50390625" style="183" customWidth="1"/>
    <col min="10" max="10" width="9.00390625" style="183" customWidth="1"/>
    <col min="11" max="11" width="10.125" style="183" customWidth="1"/>
    <col min="12" max="12" width="7.75390625" style="183" customWidth="1"/>
    <col min="13" max="13" width="7.125" style="183" customWidth="1"/>
    <col min="14" max="14" width="8.375" style="183" customWidth="1"/>
    <col min="15" max="15" width="14.00390625" style="183" bestFit="1" customWidth="1"/>
    <col min="16" max="16384" width="9.00390625" style="183" customWidth="1"/>
  </cols>
  <sheetData>
    <row r="1" ht="15.75">
      <c r="N1" s="7" t="s">
        <v>166</v>
      </c>
    </row>
    <row r="2" spans="1:14" ht="18.75">
      <c r="A2" s="483" t="s">
        <v>379</v>
      </c>
      <c r="B2" s="483"/>
      <c r="C2" s="483"/>
      <c r="D2" s="483"/>
      <c r="E2" s="483"/>
      <c r="F2" s="483"/>
      <c r="G2" s="483"/>
      <c r="H2" s="483"/>
      <c r="I2" s="483"/>
      <c r="J2" s="483"/>
      <c r="K2" s="483"/>
      <c r="L2" s="483"/>
      <c r="M2" s="483"/>
      <c r="N2" s="483"/>
    </row>
    <row r="3" spans="1:14" ht="27" customHeight="1">
      <c r="A3" s="474" t="str">
        <f>'30'!A3:G3</f>
        <v>(Kèm theo Tờ trình số         /TTr-HĐND  ngày        tháng 12 năm 2022 của UBND huyện Hạ Lang)</v>
      </c>
      <c r="B3" s="474"/>
      <c r="C3" s="474"/>
      <c r="D3" s="474"/>
      <c r="E3" s="474"/>
      <c r="F3" s="474"/>
      <c r="G3" s="474"/>
      <c r="H3" s="474"/>
      <c r="I3" s="474"/>
      <c r="J3" s="474"/>
      <c r="K3" s="474"/>
      <c r="L3" s="474"/>
      <c r="M3" s="474"/>
      <c r="N3" s="474"/>
    </row>
    <row r="4" spans="11:14" ht="15">
      <c r="K4" s="484" t="s">
        <v>9</v>
      </c>
      <c r="L4" s="484"/>
      <c r="M4" s="484"/>
      <c r="N4" s="484"/>
    </row>
    <row r="5" spans="1:14" ht="15.75">
      <c r="A5" s="481" t="s">
        <v>4</v>
      </c>
      <c r="B5" s="481" t="s">
        <v>209</v>
      </c>
      <c r="C5" s="481" t="s">
        <v>372</v>
      </c>
      <c r="D5" s="481"/>
      <c r="E5" s="481"/>
      <c r="F5" s="481"/>
      <c r="G5" s="481" t="s">
        <v>373</v>
      </c>
      <c r="H5" s="481"/>
      <c r="I5" s="481"/>
      <c r="J5" s="481"/>
      <c r="K5" s="481" t="s">
        <v>59</v>
      </c>
      <c r="L5" s="481"/>
      <c r="M5" s="481"/>
      <c r="N5" s="481"/>
    </row>
    <row r="6" spans="1:14" ht="15.75">
      <c r="A6" s="481"/>
      <c r="B6" s="481"/>
      <c r="C6" s="481" t="s">
        <v>210</v>
      </c>
      <c r="D6" s="481" t="s">
        <v>139</v>
      </c>
      <c r="E6" s="481"/>
      <c r="F6" s="481"/>
      <c r="G6" s="481" t="s">
        <v>210</v>
      </c>
      <c r="H6" s="481" t="s">
        <v>139</v>
      </c>
      <c r="I6" s="481"/>
      <c r="J6" s="481"/>
      <c r="K6" s="481" t="s">
        <v>210</v>
      </c>
      <c r="L6" s="481" t="s">
        <v>139</v>
      </c>
      <c r="M6" s="481"/>
      <c r="N6" s="481"/>
    </row>
    <row r="7" spans="1:14" ht="63">
      <c r="A7" s="481"/>
      <c r="B7" s="481"/>
      <c r="C7" s="481"/>
      <c r="D7" s="87" t="s">
        <v>10</v>
      </c>
      <c r="E7" s="10" t="s">
        <v>43</v>
      </c>
      <c r="F7" s="10" t="s">
        <v>211</v>
      </c>
      <c r="G7" s="481"/>
      <c r="H7" s="10" t="s">
        <v>10</v>
      </c>
      <c r="I7" s="10" t="s">
        <v>43</v>
      </c>
      <c r="J7" s="10" t="s">
        <v>211</v>
      </c>
      <c r="K7" s="481"/>
      <c r="L7" s="10" t="s">
        <v>10</v>
      </c>
      <c r="M7" s="10" t="s">
        <v>43</v>
      </c>
      <c r="N7" s="10" t="s">
        <v>211</v>
      </c>
    </row>
    <row r="8" spans="1:14" s="218" customFormat="1" ht="15.75">
      <c r="A8" s="10" t="s">
        <v>6</v>
      </c>
      <c r="B8" s="10" t="s">
        <v>7</v>
      </c>
      <c r="C8" s="10">
        <v>1</v>
      </c>
      <c r="D8" s="10">
        <v>2</v>
      </c>
      <c r="E8" s="10">
        <v>3</v>
      </c>
      <c r="F8" s="10">
        <v>4</v>
      </c>
      <c r="G8" s="10">
        <v>5</v>
      </c>
      <c r="H8" s="10">
        <v>6</v>
      </c>
      <c r="I8" s="10">
        <v>7</v>
      </c>
      <c r="J8" s="10">
        <v>8</v>
      </c>
      <c r="K8" s="10" t="s">
        <v>212</v>
      </c>
      <c r="L8" s="10" t="s">
        <v>213</v>
      </c>
      <c r="M8" s="10" t="s">
        <v>214</v>
      </c>
      <c r="N8" s="10" t="s">
        <v>215</v>
      </c>
    </row>
    <row r="9" spans="1:16" s="219" customFormat="1" ht="21.75" customHeight="1">
      <c r="A9" s="14"/>
      <c r="B9" s="14" t="s">
        <v>216</v>
      </c>
      <c r="C9" s="248">
        <f>SUM(C10:C22)</f>
        <v>1354.1999999999998</v>
      </c>
      <c r="D9" s="248">
        <f>SUM(D10:D22)</f>
        <v>1354.1999999999998</v>
      </c>
      <c r="E9" s="248"/>
      <c r="F9" s="248"/>
      <c r="G9" s="249">
        <f>SUM(G10:G22)</f>
        <v>1322</v>
      </c>
      <c r="H9" s="249">
        <f>SUM(H10:H22)</f>
        <v>1322</v>
      </c>
      <c r="I9" s="248"/>
      <c r="J9" s="248"/>
      <c r="K9" s="250">
        <f>G9-C9</f>
        <v>-32.19999999999982</v>
      </c>
      <c r="L9" s="251">
        <f>G9/C9</f>
        <v>0.9762221237631075</v>
      </c>
      <c r="M9" s="16"/>
      <c r="N9" s="16"/>
      <c r="O9" s="252"/>
      <c r="P9" s="252"/>
    </row>
    <row r="10" spans="1:16" s="218" customFormat="1" ht="20.25" customHeight="1">
      <c r="A10" s="220" t="s">
        <v>207</v>
      </c>
      <c r="B10" s="253" t="s">
        <v>307</v>
      </c>
      <c r="C10" s="119">
        <f>SUM(D10:F10)</f>
        <v>44</v>
      </c>
      <c r="D10" s="254">
        <v>44</v>
      </c>
      <c r="E10" s="119"/>
      <c r="F10" s="119"/>
      <c r="G10" s="254">
        <f>H10+I10+J10</f>
        <v>41</v>
      </c>
      <c r="H10" s="254">
        <v>41</v>
      </c>
      <c r="I10" s="119"/>
      <c r="J10" s="119"/>
      <c r="K10" s="255">
        <f>G10-C10</f>
        <v>-3</v>
      </c>
      <c r="L10" s="256">
        <f>G10/C10</f>
        <v>0.9318181818181818</v>
      </c>
      <c r="M10" s="22"/>
      <c r="N10" s="22"/>
      <c r="O10" s="257"/>
      <c r="P10" s="252"/>
    </row>
    <row r="11" spans="1:16" s="218" customFormat="1" ht="20.25" customHeight="1">
      <c r="A11" s="220">
        <v>2</v>
      </c>
      <c r="B11" s="253" t="s">
        <v>309</v>
      </c>
      <c r="C11" s="119">
        <f aca="true" t="shared" si="0" ref="C11:C22">SUM(D11:F11)</f>
        <v>143</v>
      </c>
      <c r="D11" s="254">
        <v>143</v>
      </c>
      <c r="E11" s="119"/>
      <c r="F11" s="119"/>
      <c r="G11" s="254">
        <f aca="true" t="shared" si="1" ref="G11:G22">H11+I11+J11</f>
        <v>122</v>
      </c>
      <c r="H11" s="254">
        <v>122</v>
      </c>
      <c r="I11" s="119"/>
      <c r="J11" s="119"/>
      <c r="K11" s="255">
        <f aca="true" t="shared" si="2" ref="K11:K21">G11-C11</f>
        <v>-21</v>
      </c>
      <c r="L11" s="256">
        <f aca="true" t="shared" si="3" ref="L11:L22">G11/C11</f>
        <v>0.8531468531468531</v>
      </c>
      <c r="M11" s="22"/>
      <c r="N11" s="22"/>
      <c r="O11" s="257"/>
      <c r="P11" s="252"/>
    </row>
    <row r="12" spans="1:16" s="218" customFormat="1" ht="20.25" customHeight="1">
      <c r="A12" s="220">
        <v>3</v>
      </c>
      <c r="B12" s="283" t="s">
        <v>310</v>
      </c>
      <c r="C12" s="119">
        <f t="shared" si="0"/>
        <v>50</v>
      </c>
      <c r="D12" s="254">
        <v>50</v>
      </c>
      <c r="E12" s="119"/>
      <c r="F12" s="119"/>
      <c r="G12" s="254">
        <f t="shared" si="1"/>
        <v>51</v>
      </c>
      <c r="H12" s="254">
        <v>51</v>
      </c>
      <c r="I12" s="119"/>
      <c r="J12" s="119"/>
      <c r="K12" s="255">
        <f t="shared" si="2"/>
        <v>1</v>
      </c>
      <c r="L12" s="256">
        <f t="shared" si="3"/>
        <v>1.02</v>
      </c>
      <c r="M12" s="22"/>
      <c r="N12" s="22"/>
      <c r="O12" s="257"/>
      <c r="P12" s="252"/>
    </row>
    <row r="13" spans="1:16" s="218" customFormat="1" ht="20.25" customHeight="1">
      <c r="A13" s="220">
        <v>4</v>
      </c>
      <c r="B13" s="253" t="s">
        <v>311</v>
      </c>
      <c r="C13" s="119">
        <f t="shared" si="0"/>
        <v>32.6</v>
      </c>
      <c r="D13" s="254">
        <v>32.6</v>
      </c>
      <c r="E13" s="119"/>
      <c r="F13" s="119"/>
      <c r="G13" s="254">
        <f t="shared" si="1"/>
        <v>33</v>
      </c>
      <c r="H13" s="254">
        <v>33</v>
      </c>
      <c r="I13" s="119"/>
      <c r="J13" s="119"/>
      <c r="K13" s="255">
        <f t="shared" si="2"/>
        <v>0.3999999999999986</v>
      </c>
      <c r="L13" s="256">
        <f t="shared" si="3"/>
        <v>1.0122699386503067</v>
      </c>
      <c r="M13" s="22"/>
      <c r="N13" s="22"/>
      <c r="O13" s="257"/>
      <c r="P13" s="252"/>
    </row>
    <row r="14" spans="1:16" s="218" customFormat="1" ht="20.25" customHeight="1">
      <c r="A14" s="220">
        <v>5</v>
      </c>
      <c r="B14" s="253" t="s">
        <v>312</v>
      </c>
      <c r="C14" s="119">
        <f t="shared" si="0"/>
        <v>24</v>
      </c>
      <c r="D14" s="254">
        <v>24</v>
      </c>
      <c r="E14" s="119"/>
      <c r="F14" s="119"/>
      <c r="G14" s="254">
        <f t="shared" si="1"/>
        <v>26</v>
      </c>
      <c r="H14" s="254">
        <v>26</v>
      </c>
      <c r="I14" s="119"/>
      <c r="J14" s="119"/>
      <c r="K14" s="255">
        <f t="shared" si="2"/>
        <v>2</v>
      </c>
      <c r="L14" s="256">
        <f t="shared" si="3"/>
        <v>1.0833333333333333</v>
      </c>
      <c r="M14" s="22"/>
      <c r="N14" s="22"/>
      <c r="O14" s="257"/>
      <c r="P14" s="252"/>
    </row>
    <row r="15" spans="1:16" s="218" customFormat="1" ht="20.25" customHeight="1">
      <c r="A15" s="220">
        <v>6</v>
      </c>
      <c r="B15" s="253" t="s">
        <v>347</v>
      </c>
      <c r="C15" s="119">
        <f t="shared" si="0"/>
        <v>25</v>
      </c>
      <c r="D15" s="254">
        <v>25</v>
      </c>
      <c r="E15" s="119"/>
      <c r="F15" s="119"/>
      <c r="G15" s="254">
        <f t="shared" si="1"/>
        <v>26</v>
      </c>
      <c r="H15" s="254">
        <v>26</v>
      </c>
      <c r="I15" s="119"/>
      <c r="J15" s="119"/>
      <c r="K15" s="255">
        <f t="shared" si="2"/>
        <v>1</v>
      </c>
      <c r="L15" s="256">
        <f t="shared" si="3"/>
        <v>1.04</v>
      </c>
      <c r="M15" s="22"/>
      <c r="N15" s="22"/>
      <c r="O15" s="257"/>
      <c r="P15" s="252"/>
    </row>
    <row r="16" spans="1:16" s="218" customFormat="1" ht="31.5" customHeight="1">
      <c r="A16" s="220">
        <v>7</v>
      </c>
      <c r="B16" s="253" t="s">
        <v>314</v>
      </c>
      <c r="C16" s="119">
        <f t="shared" si="0"/>
        <v>800</v>
      </c>
      <c r="D16" s="254">
        <v>800</v>
      </c>
      <c r="E16" s="119"/>
      <c r="F16" s="119"/>
      <c r="G16" s="254">
        <f t="shared" si="1"/>
        <v>760</v>
      </c>
      <c r="H16" s="254">
        <v>760</v>
      </c>
      <c r="I16" s="119"/>
      <c r="J16" s="119"/>
      <c r="K16" s="255">
        <f t="shared" si="2"/>
        <v>-40</v>
      </c>
      <c r="L16" s="256">
        <f t="shared" si="3"/>
        <v>0.95</v>
      </c>
      <c r="M16" s="22"/>
      <c r="N16" s="22"/>
      <c r="O16" s="257"/>
      <c r="P16" s="252"/>
    </row>
    <row r="17" spans="1:16" s="218" customFormat="1" ht="20.25" customHeight="1">
      <c r="A17" s="220">
        <v>8</v>
      </c>
      <c r="B17" s="253" t="s">
        <v>315</v>
      </c>
      <c r="C17" s="119">
        <f t="shared" si="0"/>
        <v>41</v>
      </c>
      <c r="D17" s="254">
        <v>41</v>
      </c>
      <c r="E17" s="119"/>
      <c r="F17" s="119"/>
      <c r="G17" s="254">
        <f t="shared" si="1"/>
        <v>46</v>
      </c>
      <c r="H17" s="254">
        <v>46</v>
      </c>
      <c r="I17" s="119"/>
      <c r="J17" s="119"/>
      <c r="K17" s="255">
        <f t="shared" si="2"/>
        <v>5</v>
      </c>
      <c r="L17" s="256">
        <f t="shared" si="3"/>
        <v>1.1219512195121952</v>
      </c>
      <c r="M17" s="22"/>
      <c r="N17" s="22"/>
      <c r="O17" s="257"/>
      <c r="P17" s="252"/>
    </row>
    <row r="18" spans="1:16" s="218" customFormat="1" ht="20.25" customHeight="1">
      <c r="A18" s="220">
        <v>9</v>
      </c>
      <c r="B18" s="253" t="s">
        <v>349</v>
      </c>
      <c r="C18" s="119">
        <f t="shared" si="0"/>
        <v>56</v>
      </c>
      <c r="D18" s="254">
        <v>56</v>
      </c>
      <c r="E18" s="119"/>
      <c r="F18" s="119"/>
      <c r="G18" s="254">
        <f t="shared" si="1"/>
        <v>57</v>
      </c>
      <c r="H18" s="254">
        <v>57</v>
      </c>
      <c r="I18" s="119"/>
      <c r="J18" s="119"/>
      <c r="K18" s="255">
        <f t="shared" si="2"/>
        <v>1</v>
      </c>
      <c r="L18" s="256">
        <f t="shared" si="3"/>
        <v>1.0178571428571428</v>
      </c>
      <c r="M18" s="22"/>
      <c r="N18" s="22"/>
      <c r="O18" s="257"/>
      <c r="P18" s="252"/>
    </row>
    <row r="19" spans="1:16" s="218" customFormat="1" ht="20.25" customHeight="1">
      <c r="A19" s="220">
        <v>10</v>
      </c>
      <c r="B19" s="253" t="s">
        <v>317</v>
      </c>
      <c r="C19" s="119">
        <f t="shared" si="0"/>
        <v>43</v>
      </c>
      <c r="D19" s="254">
        <v>43</v>
      </c>
      <c r="E19" s="119"/>
      <c r="F19" s="119"/>
      <c r="G19" s="254">
        <f t="shared" si="1"/>
        <v>55</v>
      </c>
      <c r="H19" s="254">
        <v>55</v>
      </c>
      <c r="I19" s="119"/>
      <c r="J19" s="119"/>
      <c r="K19" s="255">
        <f t="shared" si="2"/>
        <v>12</v>
      </c>
      <c r="L19" s="256">
        <f t="shared" si="3"/>
        <v>1.2790697674418605</v>
      </c>
      <c r="M19" s="22"/>
      <c r="N19" s="22"/>
      <c r="O19" s="257"/>
      <c r="P19" s="252"/>
    </row>
    <row r="20" spans="1:16" s="218" customFormat="1" ht="20.25" customHeight="1">
      <c r="A20" s="220">
        <v>11</v>
      </c>
      <c r="B20" s="253" t="s">
        <v>318</v>
      </c>
      <c r="C20" s="119">
        <f t="shared" si="0"/>
        <v>31.6</v>
      </c>
      <c r="D20" s="254">
        <v>31.6</v>
      </c>
      <c r="E20" s="119"/>
      <c r="F20" s="119"/>
      <c r="G20" s="254">
        <f t="shared" si="1"/>
        <v>36</v>
      </c>
      <c r="H20" s="254">
        <v>36</v>
      </c>
      <c r="I20" s="119"/>
      <c r="J20" s="119"/>
      <c r="K20" s="255">
        <f t="shared" si="2"/>
        <v>4.399999999999999</v>
      </c>
      <c r="L20" s="256">
        <f t="shared" si="3"/>
        <v>1.1392405063291138</v>
      </c>
      <c r="M20" s="22"/>
      <c r="N20" s="22"/>
      <c r="O20" s="257"/>
      <c r="P20" s="252"/>
    </row>
    <row r="21" spans="1:16" s="218" customFormat="1" ht="20.25" customHeight="1">
      <c r="A21" s="220">
        <v>12</v>
      </c>
      <c r="B21" s="253" t="s">
        <v>319</v>
      </c>
      <c r="C21" s="119">
        <f t="shared" si="0"/>
        <v>25</v>
      </c>
      <c r="D21" s="254">
        <v>25</v>
      </c>
      <c r="E21" s="119"/>
      <c r="F21" s="119"/>
      <c r="G21" s="254">
        <f t="shared" si="1"/>
        <v>31</v>
      </c>
      <c r="H21" s="254">
        <v>31</v>
      </c>
      <c r="I21" s="119"/>
      <c r="J21" s="119"/>
      <c r="K21" s="255">
        <f t="shared" si="2"/>
        <v>6</v>
      </c>
      <c r="L21" s="256">
        <f t="shared" si="3"/>
        <v>1.24</v>
      </c>
      <c r="M21" s="22"/>
      <c r="N21" s="22"/>
      <c r="O21" s="257"/>
      <c r="P21" s="252"/>
    </row>
    <row r="22" spans="1:16" s="218" customFormat="1" ht="20.25" customHeight="1">
      <c r="A22" s="222">
        <v>13</v>
      </c>
      <c r="B22" s="258" t="s">
        <v>320</v>
      </c>
      <c r="C22" s="120">
        <f t="shared" si="0"/>
        <v>39</v>
      </c>
      <c r="D22" s="259">
        <v>39</v>
      </c>
      <c r="E22" s="120"/>
      <c r="F22" s="120"/>
      <c r="G22" s="259">
        <f t="shared" si="1"/>
        <v>38</v>
      </c>
      <c r="H22" s="259">
        <v>38</v>
      </c>
      <c r="I22" s="120"/>
      <c r="J22" s="120"/>
      <c r="K22" s="260">
        <f>G22-C22</f>
        <v>-1</v>
      </c>
      <c r="L22" s="261">
        <f t="shared" si="3"/>
        <v>0.9743589743589743</v>
      </c>
      <c r="M22" s="25"/>
      <c r="N22" s="25"/>
      <c r="O22" s="257"/>
      <c r="P22" s="252"/>
    </row>
    <row r="23" spans="1:14" s="218" customFormat="1" ht="20.25" customHeight="1">
      <c r="A23" s="262"/>
      <c r="B23" s="263"/>
      <c r="C23" s="264"/>
      <c r="D23" s="265"/>
      <c r="E23" s="72"/>
      <c r="F23" s="72"/>
      <c r="G23" s="266"/>
      <c r="H23" s="265"/>
      <c r="I23" s="72"/>
      <c r="J23" s="72"/>
      <c r="K23" s="267"/>
      <c r="L23" s="267"/>
      <c r="M23" s="72"/>
      <c r="N23" s="72"/>
    </row>
    <row r="24" spans="1:14" s="218" customFormat="1" ht="20.25" customHeight="1">
      <c r="A24" s="262"/>
      <c r="B24" s="263"/>
      <c r="C24" s="264"/>
      <c r="D24" s="265"/>
      <c r="E24" s="72"/>
      <c r="F24" s="72"/>
      <c r="G24" s="266"/>
      <c r="H24" s="265"/>
      <c r="I24" s="72"/>
      <c r="J24" s="72"/>
      <c r="K24" s="267"/>
      <c r="L24" s="267"/>
      <c r="M24" s="72"/>
      <c r="N24" s="72"/>
    </row>
    <row r="25" spans="1:14" s="218" customFormat="1" ht="20.25" customHeight="1">
      <c r="A25" s="262"/>
      <c r="B25" s="263"/>
      <c r="C25" s="264"/>
      <c r="D25" s="265"/>
      <c r="E25" s="72"/>
      <c r="F25" s="72"/>
      <c r="G25" s="266"/>
      <c r="H25" s="265"/>
      <c r="I25" s="72"/>
      <c r="J25" s="72"/>
      <c r="K25" s="267"/>
      <c r="L25" s="267"/>
      <c r="M25" s="72"/>
      <c r="N25" s="72"/>
    </row>
    <row r="26" spans="1:14" s="218" customFormat="1" ht="20.25" customHeight="1">
      <c r="A26" s="262"/>
      <c r="B26" s="263"/>
      <c r="C26" s="264"/>
      <c r="D26" s="265"/>
      <c r="E26" s="72"/>
      <c r="F26" s="72"/>
      <c r="G26" s="266"/>
      <c r="H26" s="265"/>
      <c r="I26" s="72"/>
      <c r="J26" s="72"/>
      <c r="K26" s="267"/>
      <c r="L26" s="267"/>
      <c r="M26" s="72"/>
      <c r="N26" s="72"/>
    </row>
    <row r="27" ht="24.75" customHeight="1">
      <c r="A27" s="9" t="s">
        <v>217</v>
      </c>
    </row>
    <row r="28" ht="15.75">
      <c r="A28" s="88" t="s">
        <v>218</v>
      </c>
    </row>
    <row r="29" ht="15.75">
      <c r="A29" s="88" t="s">
        <v>219</v>
      </c>
    </row>
  </sheetData>
  <sheetProtection/>
  <mergeCells count="14">
    <mergeCell ref="G6:G7"/>
    <mergeCell ref="H6:J6"/>
    <mergeCell ref="K6:K7"/>
    <mergeCell ref="L6:N6"/>
    <mergeCell ref="A2:N2"/>
    <mergeCell ref="A5:A7"/>
    <mergeCell ref="K5:N5"/>
    <mergeCell ref="B5:B7"/>
    <mergeCell ref="C5:F5"/>
    <mergeCell ref="G5:J5"/>
    <mergeCell ref="C6:C7"/>
    <mergeCell ref="D6:F6"/>
    <mergeCell ref="A3:N3"/>
    <mergeCell ref="K4:N4"/>
  </mergeCells>
  <printOptions/>
  <pageMargins left="0.51" right="0.16" top="0.32" bottom="0.37"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C00000"/>
  </sheetPr>
  <dimension ref="A1:T31"/>
  <sheetViews>
    <sheetView zoomScalePageLayoutView="0" workbookViewId="0" topLeftCell="A7">
      <selection activeCell="F16" sqref="F16"/>
    </sheetView>
  </sheetViews>
  <sheetFormatPr defaultColWidth="9.00390625" defaultRowHeight="14.25"/>
  <cols>
    <col min="1" max="1" width="4.125" style="183" customWidth="1"/>
    <col min="2" max="2" width="14.125" style="183" customWidth="1"/>
    <col min="3" max="3" width="9.125" style="183" customWidth="1"/>
    <col min="4" max="4" width="9.00390625" style="183" customWidth="1"/>
    <col min="5" max="5" width="6.125" style="183" customWidth="1"/>
    <col min="6" max="6" width="6.25390625" style="183" customWidth="1"/>
    <col min="7" max="7" width="7.50390625" style="183" customWidth="1"/>
    <col min="8" max="8" width="6.50390625" style="183" customWidth="1"/>
    <col min="9" max="9" width="7.375" style="183" customWidth="1"/>
    <col min="10" max="10" width="5.625" style="183" customWidth="1"/>
    <col min="11" max="11" width="6.00390625" style="183" customWidth="1"/>
    <col min="12" max="12" width="7.00390625" style="183" customWidth="1"/>
    <col min="13" max="13" width="7.625" style="183" customWidth="1"/>
    <col min="14" max="14" width="6.125" style="183" customWidth="1"/>
    <col min="15" max="15" width="7.25390625" style="183" customWidth="1"/>
    <col min="16" max="16" width="7.50390625" style="183" customWidth="1"/>
    <col min="17" max="17" width="6.875" style="183" customWidth="1"/>
    <col min="18" max="18" width="7.50390625" style="183" customWidth="1"/>
    <col min="19" max="16384" width="9.00390625" style="183" customWidth="1"/>
  </cols>
  <sheetData>
    <row r="1" spans="16:18" ht="15">
      <c r="P1" s="487" t="s">
        <v>167</v>
      </c>
      <c r="Q1" s="487"/>
      <c r="R1" s="487"/>
    </row>
    <row r="2" spans="1:18" ht="18" customHeight="1">
      <c r="A2" s="480" t="s">
        <v>299</v>
      </c>
      <c r="B2" s="480"/>
      <c r="C2" s="480"/>
      <c r="D2" s="480"/>
      <c r="E2" s="480"/>
      <c r="F2" s="480"/>
      <c r="G2" s="480"/>
      <c r="H2" s="480"/>
      <c r="I2" s="480"/>
      <c r="J2" s="480"/>
      <c r="K2" s="480"/>
      <c r="L2" s="480"/>
      <c r="M2" s="480"/>
      <c r="N2" s="480"/>
      <c r="O2" s="480"/>
      <c r="P2" s="480"/>
      <c r="Q2" s="480"/>
      <c r="R2" s="480"/>
    </row>
    <row r="3" spans="1:18" ht="18" customHeight="1">
      <c r="A3" s="474" t="str">
        <f>'15'!A3:G3</f>
        <v>(Kèm theo Tờ trình số         /TTr-HĐND  ngày        tháng 12 năm 2022 của UBND huyện Hạ Lang)</v>
      </c>
      <c r="B3" s="474"/>
      <c r="C3" s="474"/>
      <c r="D3" s="474"/>
      <c r="E3" s="474"/>
      <c r="F3" s="474"/>
      <c r="G3" s="474"/>
      <c r="H3" s="474"/>
      <c r="I3" s="474"/>
      <c r="J3" s="474"/>
      <c r="K3" s="474"/>
      <c r="L3" s="474"/>
      <c r="M3" s="474"/>
      <c r="N3" s="474"/>
      <c r="O3" s="474"/>
      <c r="P3" s="474"/>
      <c r="Q3" s="474"/>
      <c r="R3" s="474"/>
    </row>
    <row r="4" spans="16:18" s="186" customFormat="1" ht="15">
      <c r="P4" s="484" t="s">
        <v>354</v>
      </c>
      <c r="Q4" s="484"/>
      <c r="R4" s="484"/>
    </row>
    <row r="5" spans="1:18" s="186" customFormat="1" ht="24" customHeight="1">
      <c r="A5" s="485" t="s">
        <v>4</v>
      </c>
      <c r="B5" s="485" t="s">
        <v>220</v>
      </c>
      <c r="C5" s="485" t="s">
        <v>221</v>
      </c>
      <c r="D5" s="485" t="s">
        <v>222</v>
      </c>
      <c r="E5" s="485" t="s">
        <v>139</v>
      </c>
      <c r="F5" s="485"/>
      <c r="G5" s="485"/>
      <c r="H5" s="485"/>
      <c r="I5" s="485"/>
      <c r="J5" s="485"/>
      <c r="K5" s="485"/>
      <c r="L5" s="485"/>
      <c r="M5" s="485"/>
      <c r="N5" s="485"/>
      <c r="O5" s="485"/>
      <c r="P5" s="485"/>
      <c r="Q5" s="485" t="s">
        <v>223</v>
      </c>
      <c r="R5" s="485" t="s">
        <v>224</v>
      </c>
    </row>
    <row r="6" spans="1:18" s="186" customFormat="1" ht="19.5" customHeight="1">
      <c r="A6" s="485"/>
      <c r="B6" s="485"/>
      <c r="C6" s="485"/>
      <c r="D6" s="485"/>
      <c r="E6" s="486" t="s">
        <v>225</v>
      </c>
      <c r="F6" s="486" t="s">
        <v>226</v>
      </c>
      <c r="G6" s="486" t="s">
        <v>227</v>
      </c>
      <c r="H6" s="486"/>
      <c r="I6" s="486"/>
      <c r="J6" s="486" t="s">
        <v>228</v>
      </c>
      <c r="K6" s="486" t="s">
        <v>229</v>
      </c>
      <c r="L6" s="486" t="s">
        <v>230</v>
      </c>
      <c r="M6" s="486" t="s">
        <v>231</v>
      </c>
      <c r="N6" s="486" t="s">
        <v>187</v>
      </c>
      <c r="O6" s="486" t="s">
        <v>232</v>
      </c>
      <c r="P6" s="486" t="s">
        <v>233</v>
      </c>
      <c r="Q6" s="485"/>
      <c r="R6" s="485"/>
    </row>
    <row r="7" spans="1:18" s="186" customFormat="1" ht="75">
      <c r="A7" s="485"/>
      <c r="B7" s="485"/>
      <c r="C7" s="485"/>
      <c r="D7" s="485"/>
      <c r="E7" s="486"/>
      <c r="F7" s="486"/>
      <c r="G7" s="232" t="s">
        <v>234</v>
      </c>
      <c r="H7" s="233" t="s">
        <v>235</v>
      </c>
      <c r="I7" s="233" t="s">
        <v>236</v>
      </c>
      <c r="J7" s="486"/>
      <c r="K7" s="486"/>
      <c r="L7" s="486"/>
      <c r="M7" s="486"/>
      <c r="N7" s="486"/>
      <c r="O7" s="486"/>
      <c r="P7" s="486"/>
      <c r="Q7" s="485"/>
      <c r="R7" s="485"/>
    </row>
    <row r="8" spans="1:18" s="186" customFormat="1" ht="15">
      <c r="A8" s="224" t="s">
        <v>6</v>
      </c>
      <c r="B8" s="224" t="s">
        <v>7</v>
      </c>
      <c r="C8" s="224">
        <v>1</v>
      </c>
      <c r="D8" s="224">
        <v>2</v>
      </c>
      <c r="E8" s="224">
        <v>3</v>
      </c>
      <c r="F8" s="224">
        <v>4</v>
      </c>
      <c r="G8" s="224">
        <v>5</v>
      </c>
      <c r="H8" s="224">
        <v>6</v>
      </c>
      <c r="I8" s="224">
        <v>7</v>
      </c>
      <c r="J8" s="224">
        <v>8</v>
      </c>
      <c r="K8" s="224">
        <v>9</v>
      </c>
      <c r="L8" s="224">
        <v>10</v>
      </c>
      <c r="M8" s="224">
        <v>11</v>
      </c>
      <c r="N8" s="224">
        <v>12</v>
      </c>
      <c r="O8" s="224">
        <v>13</v>
      </c>
      <c r="P8" s="224">
        <v>14</v>
      </c>
      <c r="Q8" s="224">
        <v>15</v>
      </c>
      <c r="R8" s="224">
        <v>16</v>
      </c>
    </row>
    <row r="9" spans="1:18" s="186" customFormat="1" ht="19.5" customHeight="1">
      <c r="A9" s="131"/>
      <c r="B9" s="125" t="s">
        <v>206</v>
      </c>
      <c r="C9" s="38">
        <f>SUM(C10:C22)</f>
        <v>1322</v>
      </c>
      <c r="D9" s="38">
        <f aca="true" t="shared" si="0" ref="D9:R9">SUM(D10:D22)</f>
        <v>1322</v>
      </c>
      <c r="E9" s="38">
        <f t="shared" si="0"/>
        <v>0</v>
      </c>
      <c r="F9" s="38">
        <f t="shared" si="0"/>
        <v>0</v>
      </c>
      <c r="G9" s="38">
        <f t="shared" si="0"/>
        <v>0</v>
      </c>
      <c r="H9" s="38">
        <f t="shared" si="0"/>
        <v>0</v>
      </c>
      <c r="I9" s="38">
        <f t="shared" si="0"/>
        <v>390</v>
      </c>
      <c r="J9" s="38">
        <f t="shared" si="0"/>
        <v>0</v>
      </c>
      <c r="K9" s="38">
        <f t="shared" si="0"/>
        <v>0</v>
      </c>
      <c r="L9" s="38">
        <f t="shared" si="0"/>
        <v>0</v>
      </c>
      <c r="M9" s="38">
        <f t="shared" si="0"/>
        <v>810</v>
      </c>
      <c r="N9" s="38">
        <f t="shared" si="0"/>
        <v>0</v>
      </c>
      <c r="O9" s="38">
        <f t="shared" si="0"/>
        <v>0</v>
      </c>
      <c r="P9" s="38">
        <f t="shared" si="0"/>
        <v>122</v>
      </c>
      <c r="Q9" s="38">
        <f t="shared" si="0"/>
        <v>0</v>
      </c>
      <c r="R9" s="38">
        <f t="shared" si="0"/>
        <v>0</v>
      </c>
    </row>
    <row r="10" spans="1:20" s="186" customFormat="1" ht="17.25" customHeight="1">
      <c r="A10" s="126">
        <v>1</v>
      </c>
      <c r="B10" s="234" t="s">
        <v>308</v>
      </c>
      <c r="C10" s="191">
        <f>D10+Q10+R10</f>
        <v>41</v>
      </c>
      <c r="D10" s="191">
        <f>SUM(E10:P10)</f>
        <v>41</v>
      </c>
      <c r="E10" s="235"/>
      <c r="F10" s="235"/>
      <c r="G10" s="235"/>
      <c r="H10" s="236"/>
      <c r="I10" s="236">
        <v>25</v>
      </c>
      <c r="J10" s="235"/>
      <c r="K10" s="237"/>
      <c r="L10" s="235"/>
      <c r="M10" s="235">
        <v>10</v>
      </c>
      <c r="N10" s="235"/>
      <c r="O10" s="235"/>
      <c r="P10" s="238">
        <v>6</v>
      </c>
      <c r="Q10" s="192"/>
      <c r="R10" s="192"/>
      <c r="T10" s="208"/>
    </row>
    <row r="11" spans="1:20" s="186" customFormat="1" ht="17.25" customHeight="1">
      <c r="A11" s="126">
        <v>2</v>
      </c>
      <c r="B11" s="234" t="s">
        <v>309</v>
      </c>
      <c r="C11" s="191">
        <f aca="true" t="shared" si="1" ref="C11:C22">D11+Q11+R11</f>
        <v>122</v>
      </c>
      <c r="D11" s="191">
        <f aca="true" t="shared" si="2" ref="D11:D22">SUM(E11:P11)</f>
        <v>122</v>
      </c>
      <c r="E11" s="235"/>
      <c r="F11" s="235"/>
      <c r="G11" s="235"/>
      <c r="H11" s="236"/>
      <c r="I11" s="236">
        <v>40</v>
      </c>
      <c r="J11" s="235"/>
      <c r="K11" s="237"/>
      <c r="L11" s="235"/>
      <c r="M11" s="235">
        <v>70</v>
      </c>
      <c r="N11" s="235"/>
      <c r="O11" s="235"/>
      <c r="P11" s="238">
        <v>12</v>
      </c>
      <c r="Q11" s="192"/>
      <c r="R11" s="192"/>
      <c r="T11" s="208"/>
    </row>
    <row r="12" spans="1:20" s="186" customFormat="1" ht="17.25" customHeight="1">
      <c r="A12" s="126">
        <v>3</v>
      </c>
      <c r="B12" s="234" t="s">
        <v>310</v>
      </c>
      <c r="C12" s="191">
        <f t="shared" si="1"/>
        <v>51</v>
      </c>
      <c r="D12" s="191">
        <f t="shared" si="2"/>
        <v>51</v>
      </c>
      <c r="E12" s="235"/>
      <c r="F12" s="235"/>
      <c r="G12" s="235"/>
      <c r="H12" s="236"/>
      <c r="I12" s="236">
        <v>25</v>
      </c>
      <c r="J12" s="235"/>
      <c r="K12" s="237"/>
      <c r="L12" s="235"/>
      <c r="M12" s="235">
        <v>20</v>
      </c>
      <c r="N12" s="235"/>
      <c r="O12" s="235"/>
      <c r="P12" s="238">
        <v>6</v>
      </c>
      <c r="Q12" s="192"/>
      <c r="R12" s="192"/>
      <c r="T12" s="208"/>
    </row>
    <row r="13" spans="1:20" s="186" customFormat="1" ht="17.25" customHeight="1">
      <c r="A13" s="126">
        <v>4</v>
      </c>
      <c r="B13" s="234" t="s">
        <v>311</v>
      </c>
      <c r="C13" s="191">
        <f t="shared" si="1"/>
        <v>33</v>
      </c>
      <c r="D13" s="191">
        <f t="shared" si="2"/>
        <v>33</v>
      </c>
      <c r="E13" s="235"/>
      <c r="F13" s="235"/>
      <c r="G13" s="235"/>
      <c r="H13" s="236"/>
      <c r="I13" s="236">
        <v>20</v>
      </c>
      <c r="J13" s="235"/>
      <c r="K13" s="237"/>
      <c r="L13" s="235"/>
      <c r="M13" s="235">
        <v>5</v>
      </c>
      <c r="N13" s="235"/>
      <c r="O13" s="235"/>
      <c r="P13" s="238">
        <v>8</v>
      </c>
      <c r="Q13" s="192"/>
      <c r="R13" s="192"/>
      <c r="T13" s="208"/>
    </row>
    <row r="14" spans="1:20" s="186" customFormat="1" ht="17.25" customHeight="1">
      <c r="A14" s="126">
        <v>5</v>
      </c>
      <c r="B14" s="234" t="s">
        <v>312</v>
      </c>
      <c r="C14" s="191">
        <f t="shared" si="1"/>
        <v>26</v>
      </c>
      <c r="D14" s="191">
        <f t="shared" si="2"/>
        <v>26</v>
      </c>
      <c r="E14" s="235"/>
      <c r="F14" s="235"/>
      <c r="G14" s="235"/>
      <c r="H14" s="236"/>
      <c r="I14" s="236">
        <v>20</v>
      </c>
      <c r="J14" s="235"/>
      <c r="K14" s="237"/>
      <c r="L14" s="235"/>
      <c r="M14" s="235"/>
      <c r="N14" s="235"/>
      <c r="O14" s="235"/>
      <c r="P14" s="238">
        <v>6</v>
      </c>
      <c r="Q14" s="192"/>
      <c r="R14" s="192"/>
      <c r="T14" s="208"/>
    </row>
    <row r="15" spans="1:20" s="186" customFormat="1" ht="17.25" customHeight="1">
      <c r="A15" s="126">
        <v>6</v>
      </c>
      <c r="B15" s="234" t="s">
        <v>313</v>
      </c>
      <c r="C15" s="191">
        <f t="shared" si="1"/>
        <v>26</v>
      </c>
      <c r="D15" s="191">
        <f t="shared" si="2"/>
        <v>26</v>
      </c>
      <c r="E15" s="235"/>
      <c r="F15" s="235"/>
      <c r="G15" s="235"/>
      <c r="H15" s="236"/>
      <c r="I15" s="236">
        <v>20</v>
      </c>
      <c r="J15" s="235"/>
      <c r="K15" s="237"/>
      <c r="L15" s="235"/>
      <c r="M15" s="235"/>
      <c r="N15" s="235"/>
      <c r="O15" s="235"/>
      <c r="P15" s="238">
        <v>6</v>
      </c>
      <c r="Q15" s="192"/>
      <c r="R15" s="192"/>
      <c r="T15" s="208"/>
    </row>
    <row r="16" spans="1:20" s="186" customFormat="1" ht="36" customHeight="1">
      <c r="A16" s="126">
        <v>7</v>
      </c>
      <c r="B16" s="234" t="s">
        <v>314</v>
      </c>
      <c r="C16" s="191">
        <f t="shared" si="1"/>
        <v>760</v>
      </c>
      <c r="D16" s="191">
        <f t="shared" si="2"/>
        <v>760</v>
      </c>
      <c r="E16" s="235"/>
      <c r="F16" s="235"/>
      <c r="G16" s="235"/>
      <c r="H16" s="236"/>
      <c r="I16" s="236">
        <v>90</v>
      </c>
      <c r="J16" s="235"/>
      <c r="K16" s="237"/>
      <c r="L16" s="235"/>
      <c r="M16" s="235">
        <v>645</v>
      </c>
      <c r="N16" s="235"/>
      <c r="O16" s="235"/>
      <c r="P16" s="238">
        <v>25</v>
      </c>
      <c r="Q16" s="192"/>
      <c r="R16" s="192"/>
      <c r="T16" s="208"/>
    </row>
    <row r="17" spans="1:20" s="186" customFormat="1" ht="17.25" customHeight="1">
      <c r="A17" s="126">
        <v>8</v>
      </c>
      <c r="B17" s="234" t="s">
        <v>315</v>
      </c>
      <c r="C17" s="191">
        <f t="shared" si="1"/>
        <v>46</v>
      </c>
      <c r="D17" s="191">
        <f t="shared" si="2"/>
        <v>46</v>
      </c>
      <c r="E17" s="235"/>
      <c r="F17" s="235"/>
      <c r="G17" s="235"/>
      <c r="H17" s="236"/>
      <c r="I17" s="236">
        <v>25</v>
      </c>
      <c r="J17" s="235"/>
      <c r="K17" s="237"/>
      <c r="L17" s="235"/>
      <c r="M17" s="235">
        <v>15</v>
      </c>
      <c r="N17" s="235"/>
      <c r="O17" s="235"/>
      <c r="P17" s="238">
        <v>6</v>
      </c>
      <c r="Q17" s="192"/>
      <c r="R17" s="192"/>
      <c r="T17" s="208"/>
    </row>
    <row r="18" spans="1:20" s="186" customFormat="1" ht="17.25" customHeight="1">
      <c r="A18" s="126">
        <v>9</v>
      </c>
      <c r="B18" s="234" t="s">
        <v>316</v>
      </c>
      <c r="C18" s="191">
        <f t="shared" si="1"/>
        <v>57</v>
      </c>
      <c r="D18" s="191">
        <f t="shared" si="2"/>
        <v>57</v>
      </c>
      <c r="E18" s="235"/>
      <c r="F18" s="235"/>
      <c r="G18" s="235"/>
      <c r="H18" s="236"/>
      <c r="I18" s="236">
        <v>35</v>
      </c>
      <c r="J18" s="235"/>
      <c r="K18" s="237"/>
      <c r="L18" s="235"/>
      <c r="M18" s="235">
        <v>12</v>
      </c>
      <c r="N18" s="235"/>
      <c r="O18" s="235"/>
      <c r="P18" s="238">
        <v>10</v>
      </c>
      <c r="Q18" s="192"/>
      <c r="R18" s="192"/>
      <c r="T18" s="208"/>
    </row>
    <row r="19" spans="1:20" s="186" customFormat="1" ht="17.25" customHeight="1">
      <c r="A19" s="126">
        <v>10</v>
      </c>
      <c r="B19" s="234" t="s">
        <v>317</v>
      </c>
      <c r="C19" s="191">
        <f t="shared" si="1"/>
        <v>55</v>
      </c>
      <c r="D19" s="191">
        <f t="shared" si="2"/>
        <v>55</v>
      </c>
      <c r="E19" s="235"/>
      <c r="F19" s="235"/>
      <c r="G19" s="235"/>
      <c r="H19" s="236"/>
      <c r="I19" s="236">
        <v>25</v>
      </c>
      <c r="J19" s="235"/>
      <c r="K19" s="237"/>
      <c r="L19" s="235"/>
      <c r="M19" s="235">
        <v>15</v>
      </c>
      <c r="N19" s="235"/>
      <c r="O19" s="235"/>
      <c r="P19" s="238">
        <v>15</v>
      </c>
      <c r="Q19" s="192"/>
      <c r="R19" s="192"/>
      <c r="T19" s="208"/>
    </row>
    <row r="20" spans="1:20" s="186" customFormat="1" ht="17.25" customHeight="1">
      <c r="A20" s="126">
        <v>11</v>
      </c>
      <c r="B20" s="234" t="s">
        <v>318</v>
      </c>
      <c r="C20" s="191">
        <f t="shared" si="1"/>
        <v>36</v>
      </c>
      <c r="D20" s="191">
        <f t="shared" si="2"/>
        <v>36</v>
      </c>
      <c r="E20" s="235"/>
      <c r="F20" s="235"/>
      <c r="G20" s="235"/>
      <c r="H20" s="236"/>
      <c r="I20" s="236">
        <v>25</v>
      </c>
      <c r="J20" s="235"/>
      <c r="K20" s="237"/>
      <c r="L20" s="235"/>
      <c r="M20" s="235">
        <v>5</v>
      </c>
      <c r="N20" s="235"/>
      <c r="O20" s="235"/>
      <c r="P20" s="238">
        <v>6</v>
      </c>
      <c r="Q20" s="192"/>
      <c r="R20" s="192"/>
      <c r="T20" s="208"/>
    </row>
    <row r="21" spans="1:20" s="186" customFormat="1" ht="17.25" customHeight="1">
      <c r="A21" s="126">
        <v>12</v>
      </c>
      <c r="B21" s="234" t="s">
        <v>319</v>
      </c>
      <c r="C21" s="191">
        <f t="shared" si="1"/>
        <v>31</v>
      </c>
      <c r="D21" s="191">
        <f t="shared" si="2"/>
        <v>31</v>
      </c>
      <c r="E21" s="235"/>
      <c r="F21" s="235"/>
      <c r="G21" s="235"/>
      <c r="H21" s="236"/>
      <c r="I21" s="236">
        <v>20</v>
      </c>
      <c r="J21" s="235"/>
      <c r="K21" s="237"/>
      <c r="L21" s="235"/>
      <c r="M21" s="235">
        <v>3</v>
      </c>
      <c r="N21" s="235"/>
      <c r="O21" s="235"/>
      <c r="P21" s="238">
        <v>8</v>
      </c>
      <c r="Q21" s="192"/>
      <c r="R21" s="192"/>
      <c r="T21" s="208"/>
    </row>
    <row r="22" spans="1:20" s="186" customFormat="1" ht="16.5" customHeight="1">
      <c r="A22" s="128">
        <v>13</v>
      </c>
      <c r="B22" s="239" t="s">
        <v>320</v>
      </c>
      <c r="C22" s="197">
        <f t="shared" si="1"/>
        <v>38</v>
      </c>
      <c r="D22" s="197">
        <f t="shared" si="2"/>
        <v>38</v>
      </c>
      <c r="E22" s="240"/>
      <c r="F22" s="240"/>
      <c r="G22" s="240"/>
      <c r="H22" s="241"/>
      <c r="I22" s="236">
        <v>20</v>
      </c>
      <c r="J22" s="240"/>
      <c r="K22" s="242"/>
      <c r="L22" s="240"/>
      <c r="M22" s="235">
        <v>10</v>
      </c>
      <c r="N22" s="240"/>
      <c r="O22" s="240"/>
      <c r="P22" s="238">
        <v>8</v>
      </c>
      <c r="Q22" s="194"/>
      <c r="R22" s="194"/>
      <c r="T22" s="208"/>
    </row>
    <row r="23" spans="1:20" s="186" customFormat="1" ht="17.25" customHeight="1">
      <c r="A23" s="90"/>
      <c r="B23" s="243"/>
      <c r="C23" s="226"/>
      <c r="D23" s="227"/>
      <c r="E23" s="228"/>
      <c r="F23" s="228"/>
      <c r="G23" s="228"/>
      <c r="H23" s="229"/>
      <c r="I23" s="229"/>
      <c r="J23" s="228"/>
      <c r="K23" s="230"/>
      <c r="L23" s="228"/>
      <c r="M23" s="228"/>
      <c r="N23" s="228"/>
      <c r="O23" s="228"/>
      <c r="P23" s="244"/>
      <c r="Q23" s="231"/>
      <c r="R23" s="231"/>
      <c r="T23" s="208"/>
    </row>
    <row r="24" spans="1:18" s="186" customFormat="1" ht="17.25" customHeight="1">
      <c r="A24" s="90"/>
      <c r="B24" s="243"/>
      <c r="C24" s="226"/>
      <c r="D24" s="227"/>
      <c r="E24" s="228"/>
      <c r="F24" s="228"/>
      <c r="G24" s="228"/>
      <c r="H24" s="229"/>
      <c r="I24" s="229"/>
      <c r="J24" s="228"/>
      <c r="K24" s="230"/>
      <c r="L24" s="228"/>
      <c r="M24" s="228"/>
      <c r="N24" s="228"/>
      <c r="O24" s="228"/>
      <c r="P24" s="244"/>
      <c r="Q24" s="231"/>
      <c r="R24" s="231"/>
    </row>
    <row r="25" spans="1:18" s="186" customFormat="1" ht="17.25" customHeight="1">
      <c r="A25" s="90"/>
      <c r="B25" s="243"/>
      <c r="C25" s="226"/>
      <c r="D25" s="227"/>
      <c r="E25" s="228"/>
      <c r="F25" s="228"/>
      <c r="G25" s="228"/>
      <c r="H25" s="229"/>
      <c r="I25" s="229"/>
      <c r="J25" s="228"/>
      <c r="K25" s="230"/>
      <c r="L25" s="228"/>
      <c r="M25" s="228"/>
      <c r="N25" s="228"/>
      <c r="O25" s="228"/>
      <c r="P25" s="244"/>
      <c r="Q25" s="231"/>
      <c r="R25" s="231"/>
    </row>
    <row r="26" spans="1:18" s="186" customFormat="1" ht="17.25" customHeight="1">
      <c r="A26" s="90"/>
      <c r="B26" s="243"/>
      <c r="C26" s="226"/>
      <c r="D26" s="227"/>
      <c r="E26" s="228"/>
      <c r="F26" s="228"/>
      <c r="G26" s="228"/>
      <c r="H26" s="229"/>
      <c r="I26" s="229"/>
      <c r="J26" s="228"/>
      <c r="K26" s="230"/>
      <c r="L26" s="228"/>
      <c r="M26" s="228"/>
      <c r="N26" s="228"/>
      <c r="O26" s="228"/>
      <c r="P26" s="244"/>
      <c r="Q26" s="231"/>
      <c r="R26" s="231"/>
    </row>
    <row r="27" spans="1:18" s="186" customFormat="1" ht="17.25" customHeight="1">
      <c r="A27" s="90"/>
      <c r="B27" s="243"/>
      <c r="C27" s="226"/>
      <c r="D27" s="227"/>
      <c r="E27" s="228"/>
      <c r="F27" s="228"/>
      <c r="G27" s="228"/>
      <c r="H27" s="229"/>
      <c r="I27" s="229"/>
      <c r="J27" s="228"/>
      <c r="K27" s="230"/>
      <c r="L27" s="228"/>
      <c r="M27" s="228"/>
      <c r="N27" s="228"/>
      <c r="O27" s="228"/>
      <c r="P27" s="244"/>
      <c r="Q27" s="231"/>
      <c r="R27" s="231"/>
    </row>
    <row r="28" ht="19.5" customHeight="1">
      <c r="A28" s="93" t="s">
        <v>217</v>
      </c>
    </row>
    <row r="29" ht="15">
      <c r="A29" s="94" t="s">
        <v>218</v>
      </c>
    </row>
    <row r="30" ht="15">
      <c r="A30" s="94" t="s">
        <v>237</v>
      </c>
    </row>
    <row r="31" ht="15">
      <c r="A31" s="94" t="s">
        <v>238</v>
      </c>
    </row>
  </sheetData>
  <sheetProtection/>
  <mergeCells count="21">
    <mergeCell ref="A2:R2"/>
    <mergeCell ref="J6:J7"/>
    <mergeCell ref="R5:R7"/>
    <mergeCell ref="G6:I6"/>
    <mergeCell ref="E5:P5"/>
    <mergeCell ref="C5:C7"/>
    <mergeCell ref="P1:R1"/>
    <mergeCell ref="P4:R4"/>
    <mergeCell ref="K6:K7"/>
    <mergeCell ref="L6:L7"/>
    <mergeCell ref="M6:M7"/>
    <mergeCell ref="D5:D7"/>
    <mergeCell ref="A3:R3"/>
    <mergeCell ref="F6:F7"/>
    <mergeCell ref="O6:O7"/>
    <mergeCell ref="P6:P7"/>
    <mergeCell ref="A5:A7"/>
    <mergeCell ref="B5:B7"/>
    <mergeCell ref="Q5:Q7"/>
    <mergeCell ref="E6:E7"/>
    <mergeCell ref="N6:N7"/>
  </mergeCells>
  <printOptions/>
  <pageMargins left="0.24" right="0.21" top="0.42" bottom="0.28"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G47"/>
  <sheetViews>
    <sheetView zoomScalePageLayoutView="0" workbookViewId="0" topLeftCell="A4">
      <pane xSplit="2" ySplit="5" topLeftCell="C21" activePane="bottomRight" state="frozen"/>
      <selection pane="topLeft" activeCell="A4" sqref="A4"/>
      <selection pane="topRight" activeCell="C4" sqref="C4"/>
      <selection pane="bottomLeft" activeCell="A9" sqref="A9"/>
      <selection pane="bottomRight" activeCell="D32" sqref="D32"/>
    </sheetView>
  </sheetViews>
  <sheetFormatPr defaultColWidth="9.00390625" defaultRowHeight="14.25"/>
  <cols>
    <col min="1" max="1" width="6.25390625" style="0" customWidth="1"/>
    <col min="2" max="2" width="45.00390625" style="0" customWidth="1"/>
    <col min="3" max="3" width="10.625" style="0" customWidth="1"/>
    <col min="4" max="5" width="9.50390625" style="0" customWidth="1"/>
  </cols>
  <sheetData>
    <row r="1" spans="1:5" ht="16.5">
      <c r="A1" s="471"/>
      <c r="B1" s="471"/>
      <c r="E1" s="7" t="s">
        <v>168</v>
      </c>
    </row>
    <row r="2" spans="1:5" ht="34.5" customHeight="1">
      <c r="A2" s="480" t="s">
        <v>380</v>
      </c>
      <c r="B2" s="480"/>
      <c r="C2" s="480"/>
      <c r="D2" s="480"/>
      <c r="E2" s="480"/>
    </row>
    <row r="3" spans="1:7" ht="33" customHeight="1">
      <c r="A3" s="488" t="str">
        <f>'15'!A3:G3</f>
        <v>(Kèm theo Tờ trình số         /TTr-HĐND  ngày        tháng 12 năm 2022 của UBND huyện Hạ Lang)</v>
      </c>
      <c r="B3" s="488"/>
      <c r="C3" s="488"/>
      <c r="D3" s="488"/>
      <c r="E3" s="488"/>
      <c r="F3" s="79"/>
      <c r="G3" s="79"/>
    </row>
    <row r="4" spans="3:5" ht="15.75">
      <c r="C4" s="482" t="s">
        <v>9</v>
      </c>
      <c r="D4" s="482"/>
      <c r="E4" s="482"/>
    </row>
    <row r="5" spans="1:5" ht="15.75">
      <c r="A5" s="481" t="s">
        <v>4</v>
      </c>
      <c r="B5" s="481" t="s">
        <v>5</v>
      </c>
      <c r="C5" s="481" t="s">
        <v>140</v>
      </c>
      <c r="D5" s="481" t="s">
        <v>139</v>
      </c>
      <c r="E5" s="481"/>
    </row>
    <row r="6" spans="1:5" ht="66.75" customHeight="1">
      <c r="A6" s="481"/>
      <c r="B6" s="481"/>
      <c r="C6" s="481"/>
      <c r="D6" s="10" t="s">
        <v>381</v>
      </c>
      <c r="E6" s="10" t="s">
        <v>382</v>
      </c>
    </row>
    <row r="7" spans="1:5" ht="15.75">
      <c r="A7" s="10" t="s">
        <v>6</v>
      </c>
      <c r="B7" s="10" t="s">
        <v>7</v>
      </c>
      <c r="C7" s="10" t="s">
        <v>141</v>
      </c>
      <c r="D7" s="10">
        <v>2</v>
      </c>
      <c r="E7" s="10">
        <v>3</v>
      </c>
    </row>
    <row r="8" spans="1:6" s="55" customFormat="1" ht="15.75">
      <c r="A8" s="14"/>
      <c r="B8" s="15" t="s">
        <v>18</v>
      </c>
      <c r="C8" s="54">
        <f>D8+E8</f>
        <v>514920</v>
      </c>
      <c r="D8" s="54">
        <f>D9+D28+D35</f>
        <v>461785.09500000003</v>
      </c>
      <c r="E8" s="54">
        <f>E9+E28+E35</f>
        <v>53134.905</v>
      </c>
      <c r="F8" s="78"/>
    </row>
    <row r="9" spans="1:6" s="55" customFormat="1" ht="15.75">
      <c r="A9" s="17" t="s">
        <v>6</v>
      </c>
      <c r="B9" s="18" t="s">
        <v>80</v>
      </c>
      <c r="C9" s="56">
        <f>D9+E9</f>
        <v>324240</v>
      </c>
      <c r="D9" s="56">
        <f>D10+D20+D24+D25+D26+D27</f>
        <v>271105.09500000003</v>
      </c>
      <c r="E9" s="56">
        <f>E10+E20+E24+E25+E26+E27</f>
        <v>53134.905</v>
      </c>
      <c r="F9" s="78"/>
    </row>
    <row r="10" spans="1:5" s="55" customFormat="1" ht="15.75">
      <c r="A10" s="17" t="s">
        <v>15</v>
      </c>
      <c r="B10" s="18" t="s">
        <v>169</v>
      </c>
      <c r="C10" s="56">
        <f aca="true" t="shared" si="0" ref="C10:C35">D10+E10</f>
        <v>16113</v>
      </c>
      <c r="D10" s="56">
        <f>D11+D18+D19</f>
        <v>16113</v>
      </c>
      <c r="E10" s="56">
        <f>E11+E18+E19</f>
        <v>0</v>
      </c>
    </row>
    <row r="11" spans="1:5" ht="15.75">
      <c r="A11" s="20">
        <v>1</v>
      </c>
      <c r="B11" s="21" t="s">
        <v>81</v>
      </c>
      <c r="C11" s="53">
        <f t="shared" si="0"/>
        <v>16113</v>
      </c>
      <c r="D11" s="53">
        <f>'17'!D11</f>
        <v>16113</v>
      </c>
      <c r="E11" s="53"/>
    </row>
    <row r="12" spans="1:5" ht="15.75">
      <c r="A12" s="20"/>
      <c r="B12" s="50" t="s">
        <v>82</v>
      </c>
      <c r="C12" s="53">
        <f t="shared" si="0"/>
        <v>0</v>
      </c>
      <c r="D12" s="53"/>
      <c r="E12" s="53"/>
    </row>
    <row r="13" spans="1:5" ht="15.75">
      <c r="A13" s="20" t="s">
        <v>8</v>
      </c>
      <c r="B13" s="50" t="s">
        <v>83</v>
      </c>
      <c r="C13" s="53">
        <f t="shared" si="0"/>
        <v>0</v>
      </c>
      <c r="D13" s="53"/>
      <c r="E13" s="53"/>
    </row>
    <row r="14" spans="1:5" ht="15.75">
      <c r="A14" s="20" t="s">
        <v>8</v>
      </c>
      <c r="B14" s="50" t="s">
        <v>170</v>
      </c>
      <c r="C14" s="53">
        <f t="shared" si="0"/>
        <v>0</v>
      </c>
      <c r="D14" s="53"/>
      <c r="E14" s="53"/>
    </row>
    <row r="15" spans="1:5" ht="15.75">
      <c r="A15" s="20"/>
      <c r="B15" s="50" t="s">
        <v>85</v>
      </c>
      <c r="C15" s="53">
        <f t="shared" si="0"/>
        <v>0</v>
      </c>
      <c r="D15" s="53"/>
      <c r="E15" s="53"/>
    </row>
    <row r="16" spans="1:5" ht="15.75">
      <c r="A16" s="20" t="s">
        <v>8</v>
      </c>
      <c r="B16" s="50" t="s">
        <v>86</v>
      </c>
      <c r="C16" s="53">
        <f t="shared" si="0"/>
        <v>0</v>
      </c>
      <c r="D16" s="53"/>
      <c r="E16" s="53"/>
    </row>
    <row r="17" spans="1:5" ht="15.75">
      <c r="A17" s="20" t="s">
        <v>8</v>
      </c>
      <c r="B17" s="50" t="s">
        <v>142</v>
      </c>
      <c r="C17" s="53">
        <f t="shared" si="0"/>
        <v>0</v>
      </c>
      <c r="D17" s="53"/>
      <c r="E17" s="53"/>
    </row>
    <row r="18" spans="1:5" ht="63">
      <c r="A18" s="20">
        <v>2</v>
      </c>
      <c r="B18" s="21" t="s">
        <v>88</v>
      </c>
      <c r="C18" s="53">
        <f t="shared" si="0"/>
        <v>0</v>
      </c>
      <c r="D18" s="53"/>
      <c r="E18" s="53"/>
    </row>
    <row r="19" spans="1:5" ht="15.75">
      <c r="A19" s="20">
        <v>3</v>
      </c>
      <c r="B19" s="21" t="s">
        <v>89</v>
      </c>
      <c r="C19" s="53">
        <f t="shared" si="0"/>
        <v>0</v>
      </c>
      <c r="D19" s="53"/>
      <c r="E19" s="53"/>
    </row>
    <row r="20" spans="1:7" s="55" customFormat="1" ht="15.75">
      <c r="A20" s="17" t="s">
        <v>11</v>
      </c>
      <c r="B20" s="18" t="s">
        <v>20</v>
      </c>
      <c r="C20" s="56">
        <f>SUM(D20:E20)</f>
        <v>301807</v>
      </c>
      <c r="D20" s="56">
        <f>301807-E20</f>
        <v>249719.785</v>
      </c>
      <c r="E20" s="56">
        <f>'30'!E25-'33'!E26</f>
        <v>52087.215</v>
      </c>
      <c r="F20" s="78"/>
      <c r="G20" s="78"/>
    </row>
    <row r="21" spans="1:5" ht="15.75">
      <c r="A21" s="20"/>
      <c r="B21" s="50" t="s">
        <v>27</v>
      </c>
      <c r="C21" s="53">
        <f t="shared" si="0"/>
        <v>0</v>
      </c>
      <c r="D21" s="53"/>
      <c r="E21" s="53"/>
    </row>
    <row r="22" spans="1:5" ht="15.75">
      <c r="A22" s="20">
        <v>1</v>
      </c>
      <c r="B22" s="50" t="s">
        <v>83</v>
      </c>
      <c r="C22" s="53">
        <f>D22+E22</f>
        <v>119066.196</v>
      </c>
      <c r="D22" s="53">
        <v>118538.788</v>
      </c>
      <c r="E22" s="53">
        <v>527.408</v>
      </c>
    </row>
    <row r="23" spans="1:5" ht="15.75">
      <c r="A23" s="20">
        <v>2</v>
      </c>
      <c r="B23" s="50" t="s">
        <v>133</v>
      </c>
      <c r="C23" s="53">
        <f t="shared" si="0"/>
        <v>0</v>
      </c>
      <c r="D23" s="53"/>
      <c r="E23" s="53"/>
    </row>
    <row r="24" spans="1:5" s="55" customFormat="1" ht="31.5">
      <c r="A24" s="17" t="s">
        <v>12</v>
      </c>
      <c r="B24" s="18" t="s">
        <v>97</v>
      </c>
      <c r="C24" s="56">
        <f t="shared" si="0"/>
        <v>0</v>
      </c>
      <c r="D24" s="56"/>
      <c r="E24" s="56"/>
    </row>
    <row r="25" spans="1:5" s="55" customFormat="1" ht="15.75">
      <c r="A25" s="17" t="s">
        <v>13</v>
      </c>
      <c r="B25" s="18" t="s">
        <v>98</v>
      </c>
      <c r="C25" s="56">
        <f t="shared" si="0"/>
        <v>0</v>
      </c>
      <c r="D25" s="56"/>
      <c r="E25" s="56"/>
    </row>
    <row r="26" spans="1:5" s="55" customFormat="1" ht="15.75">
      <c r="A26" s="17" t="s">
        <v>24</v>
      </c>
      <c r="B26" s="18" t="s">
        <v>34</v>
      </c>
      <c r="C26" s="56">
        <f>D26+E26</f>
        <v>6320</v>
      </c>
      <c r="D26" s="56">
        <f>'17'!D26-E26</f>
        <v>5272.3099999999995</v>
      </c>
      <c r="E26" s="56">
        <v>1047.69</v>
      </c>
    </row>
    <row r="27" spans="1:5" s="55" customFormat="1" ht="15.75">
      <c r="A27" s="17" t="s">
        <v>90</v>
      </c>
      <c r="B27" s="18" t="s">
        <v>21</v>
      </c>
      <c r="C27" s="56">
        <f t="shared" si="0"/>
        <v>0</v>
      </c>
      <c r="D27" s="56"/>
      <c r="E27" s="56"/>
    </row>
    <row r="28" spans="1:5" s="55" customFormat="1" ht="15.75">
      <c r="A28" s="17" t="s">
        <v>7</v>
      </c>
      <c r="B28" s="18" t="s">
        <v>91</v>
      </c>
      <c r="C28" s="56">
        <f>D28+E28</f>
        <v>190680</v>
      </c>
      <c r="D28" s="56">
        <f>D29+D33+D34</f>
        <v>190680</v>
      </c>
      <c r="E28" s="56">
        <f>E29+E33+E34</f>
        <v>0</v>
      </c>
    </row>
    <row r="29" spans="1:5" s="55" customFormat="1" ht="15.75">
      <c r="A29" s="17" t="s">
        <v>15</v>
      </c>
      <c r="B29" s="18" t="s">
        <v>35</v>
      </c>
      <c r="C29" s="56">
        <f>SUM(C30:C32)</f>
        <v>190680</v>
      </c>
      <c r="D29" s="56">
        <f>SUM(D30:D32)</f>
        <v>190680</v>
      </c>
      <c r="E29" s="56">
        <f>SUM(E30:E31)</f>
        <v>0</v>
      </c>
    </row>
    <row r="30" spans="1:5" ht="15.75">
      <c r="A30" s="20">
        <v>1</v>
      </c>
      <c r="B30" s="33" t="s">
        <v>191</v>
      </c>
      <c r="C30" s="53">
        <f t="shared" si="0"/>
        <v>75197</v>
      </c>
      <c r="D30" s="53">
        <v>75197</v>
      </c>
      <c r="E30" s="53"/>
    </row>
    <row r="31" spans="1:5" ht="15.75">
      <c r="A31" s="20">
        <v>2</v>
      </c>
      <c r="B31" s="33" t="s">
        <v>192</v>
      </c>
      <c r="C31" s="53">
        <f t="shared" si="0"/>
        <v>1370</v>
      </c>
      <c r="D31" s="53">
        <v>1370</v>
      </c>
      <c r="E31" s="53"/>
    </row>
    <row r="32" spans="1:5" ht="30">
      <c r="A32" s="20">
        <v>3</v>
      </c>
      <c r="B32" s="33" t="s">
        <v>377</v>
      </c>
      <c r="C32" s="53">
        <f t="shared" si="0"/>
        <v>114113</v>
      </c>
      <c r="D32" s="53">
        <v>114113</v>
      </c>
      <c r="E32" s="53"/>
    </row>
    <row r="33" spans="1:5" s="55" customFormat="1" ht="15.75">
      <c r="A33" s="17" t="s">
        <v>11</v>
      </c>
      <c r="B33" s="18" t="s">
        <v>171</v>
      </c>
      <c r="C33" s="56">
        <f>D33+E33</f>
        <v>0</v>
      </c>
      <c r="D33" s="56">
        <f>'17'!D33</f>
        <v>0</v>
      </c>
      <c r="E33" s="56">
        <v>0</v>
      </c>
    </row>
    <row r="34" spans="1:5" s="55" customFormat="1" ht="31.5">
      <c r="A34" s="95" t="s">
        <v>12</v>
      </c>
      <c r="B34" s="96" t="s">
        <v>297</v>
      </c>
      <c r="C34" s="56">
        <f>D34+E34</f>
        <v>0</v>
      </c>
      <c r="D34" s="97"/>
      <c r="E34" s="97"/>
    </row>
    <row r="35" spans="1:5" s="55" customFormat="1" ht="15.75">
      <c r="A35" s="45" t="s">
        <v>14</v>
      </c>
      <c r="B35" s="46" t="s">
        <v>134</v>
      </c>
      <c r="C35" s="57">
        <f t="shared" si="0"/>
        <v>0</v>
      </c>
      <c r="D35" s="57"/>
      <c r="E35" s="57"/>
    </row>
    <row r="36" spans="1:5" s="55" customFormat="1" ht="15.75">
      <c r="A36" s="74"/>
      <c r="B36" s="75"/>
      <c r="C36" s="76"/>
      <c r="D36" s="76"/>
      <c r="E36" s="76"/>
    </row>
    <row r="37" spans="1:5" s="55" customFormat="1" ht="15.75">
      <c r="A37" s="74"/>
      <c r="B37" s="75"/>
      <c r="C37" s="76"/>
      <c r="D37" s="76"/>
      <c r="E37" s="76"/>
    </row>
    <row r="38" spans="1:5" s="55" customFormat="1" ht="15.75">
      <c r="A38" s="74"/>
      <c r="B38" s="75"/>
      <c r="C38" s="76"/>
      <c r="D38" s="76"/>
      <c r="E38" s="76"/>
    </row>
    <row r="39" spans="1:5" s="55" customFormat="1" ht="15.75">
      <c r="A39" s="74"/>
      <c r="B39" s="75"/>
      <c r="C39" s="76"/>
      <c r="D39" s="76"/>
      <c r="E39" s="76"/>
    </row>
    <row r="40" spans="1:5" s="55" customFormat="1" ht="15.75">
      <c r="A40" s="74"/>
      <c r="B40" s="75"/>
      <c r="C40" s="76"/>
      <c r="D40" s="76"/>
      <c r="E40" s="76"/>
    </row>
    <row r="41" spans="1:5" s="55" customFormat="1" ht="15.75">
      <c r="A41" s="74"/>
      <c r="B41" s="75"/>
      <c r="C41" s="76"/>
      <c r="D41" s="76"/>
      <c r="E41" s="76"/>
    </row>
    <row r="42" spans="1:5" s="55" customFormat="1" ht="15.75">
      <c r="A42" s="74"/>
      <c r="B42" s="75"/>
      <c r="C42" s="76"/>
      <c r="D42" s="76"/>
      <c r="E42" s="76"/>
    </row>
    <row r="43" spans="1:5" s="55" customFormat="1" ht="15.75">
      <c r="A43" s="74"/>
      <c r="B43" s="75"/>
      <c r="C43" s="76"/>
      <c r="D43" s="76"/>
      <c r="E43" s="76"/>
    </row>
    <row r="44" spans="1:5" s="55" customFormat="1" ht="15.75">
      <c r="A44" s="74"/>
      <c r="B44" s="75"/>
      <c r="C44" s="76"/>
      <c r="D44" s="76"/>
      <c r="E44" s="76"/>
    </row>
    <row r="45" ht="15.75">
      <c r="A45" s="9" t="s">
        <v>164</v>
      </c>
    </row>
    <row r="46" spans="1:5" s="12" customFormat="1" ht="72.75" customHeight="1">
      <c r="A46" s="479" t="s">
        <v>26</v>
      </c>
      <c r="B46" s="479"/>
      <c r="C46" s="479"/>
      <c r="D46" s="479"/>
      <c r="E46" s="479"/>
    </row>
    <row r="47" spans="1:5" ht="45" customHeight="1">
      <c r="A47" s="479" t="s">
        <v>156</v>
      </c>
      <c r="B47" s="479"/>
      <c r="C47" s="479"/>
      <c r="D47" s="479"/>
      <c r="E47" s="479"/>
    </row>
  </sheetData>
  <sheetProtection/>
  <mergeCells count="10">
    <mergeCell ref="A1:B1"/>
    <mergeCell ref="C4:E4"/>
    <mergeCell ref="A2:E2"/>
    <mergeCell ref="A46:E46"/>
    <mergeCell ref="A47:E47"/>
    <mergeCell ref="A5:A6"/>
    <mergeCell ref="B5:B6"/>
    <mergeCell ref="C5:C6"/>
    <mergeCell ref="D5:E5"/>
    <mergeCell ref="A3:E3"/>
  </mergeCells>
  <printOptions/>
  <pageMargins left="0.7" right="0.42" top="0.6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E119"/>
  <sheetViews>
    <sheetView zoomScalePageLayoutView="0" workbookViewId="0" topLeftCell="A25">
      <selection activeCell="F36" sqref="F36"/>
    </sheetView>
  </sheetViews>
  <sheetFormatPr defaultColWidth="9.00390625" defaultRowHeight="14.25"/>
  <cols>
    <col min="1" max="1" width="5.375" style="0" customWidth="1"/>
    <col min="2" max="2" width="55.00390625" style="0" customWidth="1"/>
    <col min="3" max="3" width="15.875" style="0" customWidth="1"/>
    <col min="4" max="4" width="10.875" style="0" bestFit="1" customWidth="1"/>
    <col min="5" max="5" width="9.875" style="0" bestFit="1" customWidth="1"/>
  </cols>
  <sheetData>
    <row r="1" spans="1:3" ht="16.5">
      <c r="A1" s="471"/>
      <c r="B1" s="471"/>
      <c r="C1" s="7" t="s">
        <v>172</v>
      </c>
    </row>
    <row r="2" spans="1:3" ht="19.5" customHeight="1">
      <c r="A2" s="489" t="s">
        <v>383</v>
      </c>
      <c r="B2" s="489"/>
      <c r="C2" s="489"/>
    </row>
    <row r="3" spans="1:5" ht="38.25" customHeight="1">
      <c r="A3" s="474" t="str">
        <f>'15'!A3:G3</f>
        <v>(Kèm theo Tờ trình số         /TTr-HĐND  ngày        tháng 12 năm 2022 của UBND huyện Hạ Lang)</v>
      </c>
      <c r="B3" s="474"/>
      <c r="C3" s="474"/>
      <c r="D3" s="79"/>
      <c r="E3" s="79"/>
    </row>
    <row r="4" ht="15.75">
      <c r="C4" s="8" t="s">
        <v>9</v>
      </c>
    </row>
    <row r="5" spans="1:3" ht="33" customHeight="1">
      <c r="A5" s="10" t="s">
        <v>4</v>
      </c>
      <c r="B5" s="10" t="s">
        <v>5</v>
      </c>
      <c r="C5" s="10" t="s">
        <v>173</v>
      </c>
    </row>
    <row r="6" spans="1:3" ht="15.75">
      <c r="A6" s="10" t="s">
        <v>6</v>
      </c>
      <c r="B6" s="10" t="s">
        <v>7</v>
      </c>
      <c r="C6" s="10">
        <v>1</v>
      </c>
    </row>
    <row r="7" spans="1:3" s="55" customFormat="1" ht="15.75">
      <c r="A7" s="14"/>
      <c r="B7" s="14" t="s">
        <v>18</v>
      </c>
      <c r="C7" s="54">
        <f>C8+C9</f>
        <v>513597.99899999995</v>
      </c>
    </row>
    <row r="8" spans="1:5" s="55" customFormat="1" ht="19.5" customHeight="1">
      <c r="A8" s="17" t="s">
        <v>6</v>
      </c>
      <c r="B8" s="18" t="s">
        <v>143</v>
      </c>
      <c r="C8" s="56">
        <f>'30'!E19</f>
        <v>51812.905</v>
      </c>
      <c r="D8" s="78"/>
      <c r="E8" s="78"/>
    </row>
    <row r="9" spans="1:3" s="55" customFormat="1" ht="19.5" customHeight="1">
      <c r="A9" s="17" t="s">
        <v>7</v>
      </c>
      <c r="B9" s="18" t="s">
        <v>384</v>
      </c>
      <c r="C9" s="56">
        <f>C10+C26+C40+C41+C42+C43</f>
        <v>461785.094</v>
      </c>
    </row>
    <row r="10" spans="1:4" s="55" customFormat="1" ht="15.75">
      <c r="A10" s="17" t="s">
        <v>15</v>
      </c>
      <c r="B10" s="18" t="s">
        <v>174</v>
      </c>
      <c r="C10" s="56">
        <f>C11+C25</f>
        <v>109624</v>
      </c>
      <c r="D10" s="78"/>
    </row>
    <row r="11" spans="1:3" ht="15.75">
      <c r="A11" s="20">
        <v>1</v>
      </c>
      <c r="B11" s="21" t="s">
        <v>81</v>
      </c>
      <c r="C11" s="53">
        <f>SUM(C12:C23)</f>
        <v>109624</v>
      </c>
    </row>
    <row r="12" spans="1:3" ht="15.75">
      <c r="A12" s="20" t="s">
        <v>8</v>
      </c>
      <c r="B12" s="21" t="s">
        <v>83</v>
      </c>
      <c r="C12" s="53"/>
    </row>
    <row r="13" spans="1:3" ht="16.5" customHeight="1">
      <c r="A13" s="20" t="s">
        <v>8</v>
      </c>
      <c r="B13" s="21" t="s">
        <v>84</v>
      </c>
      <c r="C13" s="53"/>
    </row>
    <row r="14" spans="1:3" ht="15.75">
      <c r="A14" s="20" t="s">
        <v>8</v>
      </c>
      <c r="B14" s="21" t="s">
        <v>144</v>
      </c>
      <c r="C14" s="53"/>
    </row>
    <row r="15" spans="1:3" ht="15.75">
      <c r="A15" s="20" t="s">
        <v>8</v>
      </c>
      <c r="B15" s="21" t="s">
        <v>145</v>
      </c>
      <c r="C15" s="53"/>
    </row>
    <row r="16" spans="1:3" ht="15.75">
      <c r="A16" s="20" t="s">
        <v>8</v>
      </c>
      <c r="B16" s="21" t="s">
        <v>146</v>
      </c>
      <c r="C16" s="53"/>
    </row>
    <row r="17" spans="1:3" ht="15.75">
      <c r="A17" s="20" t="s">
        <v>8</v>
      </c>
      <c r="B17" s="21" t="s">
        <v>147</v>
      </c>
      <c r="C17" s="53"/>
    </row>
    <row r="18" spans="1:3" ht="15.75">
      <c r="A18" s="20" t="s">
        <v>8</v>
      </c>
      <c r="B18" s="21" t="s">
        <v>149</v>
      </c>
      <c r="C18" s="53"/>
    </row>
    <row r="19" spans="1:3" ht="15.75">
      <c r="A19" s="20" t="s">
        <v>8</v>
      </c>
      <c r="B19" s="21" t="s">
        <v>150</v>
      </c>
      <c r="C19" s="53"/>
    </row>
    <row r="20" spans="1:3" ht="15.75">
      <c r="A20" s="20" t="s">
        <v>8</v>
      </c>
      <c r="B20" s="21" t="s">
        <v>151</v>
      </c>
      <c r="C20" s="53"/>
    </row>
    <row r="21" spans="1:3" ht="15.75">
      <c r="A21" s="20" t="s">
        <v>8</v>
      </c>
      <c r="B21" s="21" t="s">
        <v>175</v>
      </c>
      <c r="C21" s="53"/>
    </row>
    <row r="22" spans="1:3" ht="15.75">
      <c r="A22" s="20" t="s">
        <v>8</v>
      </c>
      <c r="B22" s="21" t="s">
        <v>153</v>
      </c>
      <c r="C22" s="53"/>
    </row>
    <row r="23" spans="1:3" ht="15.75">
      <c r="A23" s="20" t="s">
        <v>8</v>
      </c>
      <c r="B23" s="21" t="s">
        <v>154</v>
      </c>
      <c r="C23" s="53">
        <f>'33'!D11+93511</f>
        <v>109624</v>
      </c>
    </row>
    <row r="24" spans="1:3" ht="31.5">
      <c r="A24" s="20">
        <v>2</v>
      </c>
      <c r="B24" s="21" t="s">
        <v>176</v>
      </c>
      <c r="C24" s="53"/>
    </row>
    <row r="25" spans="1:3" ht="15.75">
      <c r="A25" s="20">
        <v>3</v>
      </c>
      <c r="B25" s="21" t="s">
        <v>407</v>
      </c>
      <c r="C25" s="53"/>
    </row>
    <row r="26" spans="1:4" s="55" customFormat="1" ht="15.75">
      <c r="A26" s="17" t="s">
        <v>11</v>
      </c>
      <c r="B26" s="18" t="s">
        <v>20</v>
      </c>
      <c r="C26" s="56">
        <f>SUM(C27:C39)</f>
        <v>346888.784</v>
      </c>
      <c r="D26" s="78"/>
    </row>
    <row r="27" spans="1:3" ht="15.75">
      <c r="A27" s="20" t="s">
        <v>8</v>
      </c>
      <c r="B27" s="21" t="s">
        <v>83</v>
      </c>
      <c r="C27" s="53">
        <f>'Biểu 37 huyện'!D8</f>
        <v>143829.46399999998</v>
      </c>
    </row>
    <row r="28" spans="1:3" ht="15.75">
      <c r="A28" s="20" t="s">
        <v>8</v>
      </c>
      <c r="B28" s="21" t="s">
        <v>177</v>
      </c>
      <c r="C28" s="53"/>
    </row>
    <row r="29" spans="1:3" ht="15.75">
      <c r="A29" s="20" t="s">
        <v>8</v>
      </c>
      <c r="B29" s="21" t="s">
        <v>144</v>
      </c>
      <c r="C29" s="53">
        <f>'Biểu 37 huyện'!F8</f>
        <v>3353.983</v>
      </c>
    </row>
    <row r="30" spans="1:3" ht="15.75">
      <c r="A30" s="20" t="s">
        <v>8</v>
      </c>
      <c r="B30" s="21" t="s">
        <v>145</v>
      </c>
      <c r="C30" s="53">
        <f>'Biểu 37 huyện'!G8</f>
        <v>350</v>
      </c>
    </row>
    <row r="31" spans="1:3" ht="15.75">
      <c r="A31" s="20" t="s">
        <v>8</v>
      </c>
      <c r="B31" s="21" t="s">
        <v>195</v>
      </c>
      <c r="C31" s="53">
        <f>'Biểu 37 huyện'!H8</f>
        <v>18525.915</v>
      </c>
    </row>
    <row r="32" spans="1:3" ht="15.75">
      <c r="A32" s="20" t="s">
        <v>8</v>
      </c>
      <c r="B32" s="21" t="s">
        <v>147</v>
      </c>
      <c r="C32" s="53">
        <f>'Biểu 37 huyện'!I8</f>
        <v>2713.815</v>
      </c>
    </row>
    <row r="33" spans="1:3" ht="15.75">
      <c r="A33" s="20" t="s">
        <v>8</v>
      </c>
      <c r="B33" s="21" t="s">
        <v>149</v>
      </c>
      <c r="C33" s="53">
        <f>'Biểu 37 huyện'!K8</f>
        <v>81</v>
      </c>
    </row>
    <row r="34" spans="1:3" ht="15.75">
      <c r="A34" s="20" t="s">
        <v>350</v>
      </c>
      <c r="B34" s="21" t="s">
        <v>351</v>
      </c>
      <c r="C34" s="53">
        <f>'Biểu 37 huyện'!J8</f>
        <v>194</v>
      </c>
    </row>
    <row r="35" spans="1:3" ht="15.75">
      <c r="A35" s="20" t="s">
        <v>8</v>
      </c>
      <c r="B35" s="21" t="s">
        <v>150</v>
      </c>
      <c r="C35" s="53">
        <f>'Biểu 37 huyện'!L8</f>
        <v>3000</v>
      </c>
    </row>
    <row r="36" spans="1:3" ht="15.75">
      <c r="A36" s="20" t="s">
        <v>8</v>
      </c>
      <c r="B36" s="21" t="s">
        <v>151</v>
      </c>
      <c r="C36" s="53">
        <f>'Biểu 37 huyện'!M8</f>
        <v>19945.681</v>
      </c>
    </row>
    <row r="37" spans="1:3" ht="15.75">
      <c r="A37" s="20" t="s">
        <v>8</v>
      </c>
      <c r="B37" s="21" t="s">
        <v>152</v>
      </c>
      <c r="C37" s="53">
        <f>'Biểu 37 huyện'!P8</f>
        <v>33838.357</v>
      </c>
    </row>
    <row r="38" spans="1:3" ht="15.75">
      <c r="A38" s="20" t="s">
        <v>8</v>
      </c>
      <c r="B38" s="21" t="s">
        <v>153</v>
      </c>
      <c r="C38" s="53">
        <f>'Biểu 37 huyện'!Q8</f>
        <v>19105.169</v>
      </c>
    </row>
    <row r="39" spans="1:3" ht="15.75">
      <c r="A39" s="20"/>
      <c r="B39" s="21" t="s">
        <v>385</v>
      </c>
      <c r="C39" s="53">
        <f>'Biểu 37 huyện'!R8+'38'!C12</f>
        <v>101951.4</v>
      </c>
    </row>
    <row r="40" spans="1:3" s="55" customFormat="1" ht="15.75">
      <c r="A40" s="17" t="s">
        <v>12</v>
      </c>
      <c r="B40" s="18" t="s">
        <v>178</v>
      </c>
      <c r="C40" s="56"/>
    </row>
    <row r="41" spans="1:3" s="55" customFormat="1" ht="15.75">
      <c r="A41" s="17" t="s">
        <v>13</v>
      </c>
      <c r="B41" s="18" t="s">
        <v>179</v>
      </c>
      <c r="C41" s="56"/>
    </row>
    <row r="42" spans="1:3" s="55" customFormat="1" ht="15.75">
      <c r="A42" s="17" t="s">
        <v>24</v>
      </c>
      <c r="B42" s="18" t="s">
        <v>34</v>
      </c>
      <c r="C42" s="56">
        <f>'33'!D26</f>
        <v>5272.3099999999995</v>
      </c>
    </row>
    <row r="43" spans="1:3" s="55" customFormat="1" ht="15.75">
      <c r="A43" s="17" t="s">
        <v>90</v>
      </c>
      <c r="B43" s="18" t="s">
        <v>21</v>
      </c>
      <c r="C43" s="56"/>
    </row>
    <row r="44" spans="1:3" s="55" customFormat="1" ht="15.75">
      <c r="A44" s="45" t="s">
        <v>14</v>
      </c>
      <c r="B44" s="46" t="s">
        <v>134</v>
      </c>
      <c r="C44" s="57"/>
    </row>
    <row r="45" spans="1:3" s="55" customFormat="1" ht="15.75">
      <c r="A45" s="74"/>
      <c r="B45" s="75"/>
      <c r="C45" s="76"/>
    </row>
    <row r="46" spans="1:3" s="55" customFormat="1" ht="15.75">
      <c r="A46" s="74"/>
      <c r="B46" s="75"/>
      <c r="C46" s="76"/>
    </row>
    <row r="47" spans="1:3" s="55" customFormat="1" ht="15.75">
      <c r="A47" s="74"/>
      <c r="B47" s="75"/>
      <c r="C47" s="76"/>
    </row>
    <row r="48" spans="1:3" s="55" customFormat="1" ht="15.75">
      <c r="A48" s="74"/>
      <c r="B48" s="75"/>
      <c r="C48" s="76"/>
    </row>
    <row r="49" spans="1:3" s="55" customFormat="1" ht="15.75">
      <c r="A49" s="74"/>
      <c r="B49" s="75"/>
      <c r="C49" s="76"/>
    </row>
    <row r="50" spans="1:3" s="55" customFormat="1" ht="15.75">
      <c r="A50" s="74"/>
      <c r="B50" s="75"/>
      <c r="C50" s="76"/>
    </row>
    <row r="51" spans="1:3" s="55" customFormat="1" ht="15.75">
      <c r="A51" s="74"/>
      <c r="B51" s="75"/>
      <c r="C51" s="76"/>
    </row>
    <row r="52" spans="1:3" s="55" customFormat="1" ht="15.75">
      <c r="A52" s="74"/>
      <c r="B52" s="75"/>
      <c r="C52" s="76"/>
    </row>
    <row r="53" spans="1:3" s="55" customFormat="1" ht="15.75">
      <c r="A53" s="74"/>
      <c r="B53" s="75"/>
      <c r="C53" s="76"/>
    </row>
    <row r="54" spans="1:3" s="55" customFormat="1" ht="15.75">
      <c r="A54" s="74"/>
      <c r="B54" s="75"/>
      <c r="C54" s="76"/>
    </row>
    <row r="55" spans="1:3" s="55" customFormat="1" ht="15.75">
      <c r="A55" s="74"/>
      <c r="B55" s="75"/>
      <c r="C55" s="76"/>
    </row>
    <row r="56" spans="1:3" s="55" customFormat="1" ht="15.75">
      <c r="A56" s="74"/>
      <c r="B56" s="75"/>
      <c r="C56" s="76"/>
    </row>
    <row r="57" spans="1:3" s="55" customFormat="1" ht="15.75">
      <c r="A57" s="74"/>
      <c r="B57" s="75"/>
      <c r="C57" s="76"/>
    </row>
    <row r="58" spans="1:3" s="55" customFormat="1" ht="15.75">
      <c r="A58" s="74"/>
      <c r="B58" s="75"/>
      <c r="C58" s="76"/>
    </row>
    <row r="59" spans="1:3" s="55" customFormat="1" ht="15.75">
      <c r="A59" s="74"/>
      <c r="B59" s="75"/>
      <c r="C59" s="76"/>
    </row>
    <row r="60" spans="1:3" s="55" customFormat="1" ht="15.75">
      <c r="A60" s="74"/>
      <c r="B60" s="75"/>
      <c r="C60" s="76"/>
    </row>
    <row r="61" spans="1:3" s="55" customFormat="1" ht="15.75">
      <c r="A61" s="74"/>
      <c r="B61" s="75"/>
      <c r="C61" s="76"/>
    </row>
    <row r="62" spans="1:3" s="55" customFormat="1" ht="15.75">
      <c r="A62" s="74"/>
      <c r="B62" s="75"/>
      <c r="C62" s="76"/>
    </row>
    <row r="63" spans="1:3" s="55" customFormat="1" ht="15.75">
      <c r="A63" s="74"/>
      <c r="B63" s="75"/>
      <c r="C63" s="76"/>
    </row>
    <row r="64" spans="1:3" s="55" customFormat="1" ht="15.75">
      <c r="A64" s="74"/>
      <c r="B64" s="75"/>
      <c r="C64" s="76"/>
    </row>
    <row r="65" spans="1:3" s="55" customFormat="1" ht="15.75">
      <c r="A65" s="74"/>
      <c r="B65" s="75"/>
      <c r="C65" s="76"/>
    </row>
    <row r="66" spans="1:3" s="55" customFormat="1" ht="15.75">
      <c r="A66" s="74"/>
      <c r="B66" s="75"/>
      <c r="C66" s="76"/>
    </row>
    <row r="67" spans="1:3" s="55" customFormat="1" ht="15.75">
      <c r="A67" s="74"/>
      <c r="B67" s="75"/>
      <c r="C67" s="76"/>
    </row>
    <row r="68" spans="1:3" s="55" customFormat="1" ht="15.75">
      <c r="A68" s="74"/>
      <c r="B68" s="75"/>
      <c r="C68" s="76"/>
    </row>
    <row r="69" spans="1:3" s="55" customFormat="1" ht="15.75">
      <c r="A69" s="74"/>
      <c r="B69" s="75"/>
      <c r="C69" s="76"/>
    </row>
    <row r="70" spans="1:3" s="55" customFormat="1" ht="15.75">
      <c r="A70" s="74"/>
      <c r="B70" s="75"/>
      <c r="C70" s="76"/>
    </row>
    <row r="71" spans="1:3" s="55" customFormat="1" ht="15.75">
      <c r="A71" s="74"/>
      <c r="B71" s="75"/>
      <c r="C71" s="76"/>
    </row>
    <row r="72" spans="1:3" s="55" customFormat="1" ht="15.75">
      <c r="A72" s="74"/>
      <c r="B72" s="75"/>
      <c r="C72" s="76"/>
    </row>
    <row r="73" spans="1:3" s="55" customFormat="1" ht="15.75">
      <c r="A73" s="74"/>
      <c r="B73" s="75"/>
      <c r="C73" s="76"/>
    </row>
    <row r="74" spans="1:3" s="55" customFormat="1" ht="15.75">
      <c r="A74" s="74"/>
      <c r="B74" s="75"/>
      <c r="C74" s="76"/>
    </row>
    <row r="75" spans="1:3" s="55" customFormat="1" ht="15.75">
      <c r="A75" s="74"/>
      <c r="B75" s="75"/>
      <c r="C75" s="76"/>
    </row>
    <row r="76" spans="1:3" s="55" customFormat="1" ht="15.75">
      <c r="A76" s="74"/>
      <c r="B76" s="75"/>
      <c r="C76" s="76"/>
    </row>
    <row r="77" spans="1:3" s="55" customFormat="1" ht="15.75">
      <c r="A77" s="74"/>
      <c r="B77" s="75"/>
      <c r="C77" s="76"/>
    </row>
    <row r="78" spans="1:3" s="55" customFormat="1" ht="15.75">
      <c r="A78" s="74"/>
      <c r="B78" s="75"/>
      <c r="C78" s="76"/>
    </row>
    <row r="79" spans="1:3" s="55" customFormat="1" ht="15.75">
      <c r="A79" s="74"/>
      <c r="B79" s="75"/>
      <c r="C79" s="76"/>
    </row>
    <row r="80" spans="1:3" s="55" customFormat="1" ht="15.75">
      <c r="A80" s="74"/>
      <c r="B80" s="75"/>
      <c r="C80" s="76"/>
    </row>
    <row r="81" spans="1:3" s="55" customFormat="1" ht="15.75">
      <c r="A81" s="74"/>
      <c r="B81" s="75"/>
      <c r="C81" s="76"/>
    </row>
    <row r="82" spans="1:3" s="55" customFormat="1" ht="15.75">
      <c r="A82" s="74"/>
      <c r="B82" s="75"/>
      <c r="C82" s="76"/>
    </row>
    <row r="83" spans="1:3" s="55" customFormat="1" ht="15.75">
      <c r="A83" s="74"/>
      <c r="B83" s="75"/>
      <c r="C83" s="76"/>
    </row>
    <row r="84" spans="1:3" s="55" customFormat="1" ht="15.75">
      <c r="A84" s="74"/>
      <c r="B84" s="75"/>
      <c r="C84" s="76"/>
    </row>
    <row r="85" spans="1:3" s="55" customFormat="1" ht="15.75">
      <c r="A85" s="74"/>
      <c r="B85" s="75"/>
      <c r="C85" s="76"/>
    </row>
    <row r="86" spans="1:3" s="55" customFormat="1" ht="15.75">
      <c r="A86" s="74"/>
      <c r="B86" s="75"/>
      <c r="C86" s="76"/>
    </row>
    <row r="87" spans="1:3" s="55" customFormat="1" ht="15.75">
      <c r="A87" s="74"/>
      <c r="B87" s="75"/>
      <c r="C87" s="76"/>
    </row>
    <row r="88" spans="1:3" s="55" customFormat="1" ht="15.75">
      <c r="A88" s="74"/>
      <c r="B88" s="75"/>
      <c r="C88" s="76"/>
    </row>
    <row r="89" spans="1:3" s="55" customFormat="1" ht="15.75">
      <c r="A89" s="74"/>
      <c r="B89" s="75"/>
      <c r="C89" s="76"/>
    </row>
    <row r="90" spans="1:3" s="55" customFormat="1" ht="15.75">
      <c r="A90" s="74"/>
      <c r="B90" s="75"/>
      <c r="C90" s="76"/>
    </row>
    <row r="91" spans="1:3" s="55" customFormat="1" ht="15.75">
      <c r="A91" s="74"/>
      <c r="B91" s="75"/>
      <c r="C91" s="76"/>
    </row>
    <row r="92" spans="1:3" s="55" customFormat="1" ht="15.75">
      <c r="A92" s="74"/>
      <c r="B92" s="75"/>
      <c r="C92" s="76"/>
    </row>
    <row r="93" spans="1:3" s="55" customFormat="1" ht="15.75">
      <c r="A93" s="74"/>
      <c r="B93" s="75"/>
      <c r="C93" s="76"/>
    </row>
    <row r="94" spans="1:3" s="55" customFormat="1" ht="15.75">
      <c r="A94" s="74"/>
      <c r="B94" s="75"/>
      <c r="C94" s="76"/>
    </row>
    <row r="95" spans="1:3" s="55" customFormat="1" ht="15.75">
      <c r="A95" s="74"/>
      <c r="B95" s="75"/>
      <c r="C95" s="76"/>
    </row>
    <row r="96" spans="1:3" s="55" customFormat="1" ht="15.75">
      <c r="A96" s="74"/>
      <c r="B96" s="75"/>
      <c r="C96" s="76"/>
    </row>
    <row r="97" spans="1:3" s="55" customFormat="1" ht="15.75">
      <c r="A97" s="74"/>
      <c r="B97" s="75"/>
      <c r="C97" s="76"/>
    </row>
    <row r="98" spans="1:3" s="55" customFormat="1" ht="15.75">
      <c r="A98" s="74"/>
      <c r="B98" s="75"/>
      <c r="C98" s="76"/>
    </row>
    <row r="99" spans="1:3" s="55" customFormat="1" ht="15.75">
      <c r="A99" s="74"/>
      <c r="B99" s="75"/>
      <c r="C99" s="76"/>
    </row>
    <row r="100" spans="1:3" s="55" customFormat="1" ht="15.75">
      <c r="A100" s="74"/>
      <c r="B100" s="75"/>
      <c r="C100" s="76"/>
    </row>
    <row r="101" spans="1:3" s="55" customFormat="1" ht="15.75">
      <c r="A101" s="74"/>
      <c r="B101" s="75"/>
      <c r="C101" s="76"/>
    </row>
    <row r="102" spans="1:3" s="55" customFormat="1" ht="15.75">
      <c r="A102" s="74"/>
      <c r="B102" s="75"/>
      <c r="C102" s="76"/>
    </row>
    <row r="103" spans="1:3" s="55" customFormat="1" ht="15.75">
      <c r="A103" s="74"/>
      <c r="B103" s="75"/>
      <c r="C103" s="76"/>
    </row>
    <row r="104" spans="1:3" s="55" customFormat="1" ht="15.75">
      <c r="A104" s="74"/>
      <c r="B104" s="75"/>
      <c r="C104" s="76"/>
    </row>
    <row r="105" spans="1:3" s="55" customFormat="1" ht="15.75">
      <c r="A105" s="74"/>
      <c r="B105" s="75"/>
      <c r="C105" s="76"/>
    </row>
    <row r="106" spans="1:3" s="55" customFormat="1" ht="15.75">
      <c r="A106" s="74"/>
      <c r="B106" s="75"/>
      <c r="C106" s="76"/>
    </row>
    <row r="107" spans="1:3" s="55" customFormat="1" ht="15.75">
      <c r="A107" s="74"/>
      <c r="B107" s="75"/>
      <c r="C107" s="76"/>
    </row>
    <row r="108" spans="1:3" s="55" customFormat="1" ht="15.75">
      <c r="A108" s="74"/>
      <c r="B108" s="75"/>
      <c r="C108" s="76"/>
    </row>
    <row r="109" spans="1:3" s="55" customFormat="1" ht="15.75">
      <c r="A109" s="74"/>
      <c r="B109" s="75"/>
      <c r="C109" s="76"/>
    </row>
    <row r="110" spans="1:3" s="55" customFormat="1" ht="15.75">
      <c r="A110" s="74"/>
      <c r="B110" s="75"/>
      <c r="C110" s="76"/>
    </row>
    <row r="111" spans="1:3" s="55" customFormat="1" ht="15.75">
      <c r="A111" s="74"/>
      <c r="B111" s="75"/>
      <c r="C111" s="76"/>
    </row>
    <row r="112" spans="1:3" s="55" customFormat="1" ht="15.75">
      <c r="A112" s="74"/>
      <c r="B112" s="75"/>
      <c r="C112" s="76"/>
    </row>
    <row r="113" spans="1:3" s="55" customFormat="1" ht="15.75">
      <c r="A113" s="74"/>
      <c r="B113" s="75"/>
      <c r="C113" s="76"/>
    </row>
    <row r="114" spans="1:3" s="55" customFormat="1" ht="15.75">
      <c r="A114" s="74"/>
      <c r="B114" s="75"/>
      <c r="C114" s="76"/>
    </row>
    <row r="115" spans="1:3" s="55" customFormat="1" ht="15.75">
      <c r="A115" s="74"/>
      <c r="B115" s="75"/>
      <c r="C115" s="76"/>
    </row>
    <row r="116" ht="25.5" customHeight="1">
      <c r="A116" s="9" t="s">
        <v>164</v>
      </c>
    </row>
    <row r="117" spans="1:3" s="12" customFormat="1" ht="24" customHeight="1">
      <c r="A117" s="479" t="s">
        <v>157</v>
      </c>
      <c r="B117" s="479"/>
      <c r="C117" s="479"/>
    </row>
    <row r="118" spans="1:3" s="11" customFormat="1" ht="74.25" customHeight="1">
      <c r="A118" s="479" t="s">
        <v>53</v>
      </c>
      <c r="B118" s="479"/>
      <c r="C118" s="479"/>
    </row>
    <row r="119" spans="1:3" s="11" customFormat="1" ht="55.5" customHeight="1">
      <c r="A119" s="479" t="s">
        <v>180</v>
      </c>
      <c r="B119" s="479"/>
      <c r="C119" s="479"/>
    </row>
  </sheetData>
  <sheetProtection/>
  <mergeCells count="6">
    <mergeCell ref="A119:C119"/>
    <mergeCell ref="A2:C2"/>
    <mergeCell ref="A117:C117"/>
    <mergeCell ref="A118:C118"/>
    <mergeCell ref="A1:B1"/>
    <mergeCell ref="A3:C3"/>
  </mergeCells>
  <printOptions/>
  <pageMargins left="1.02" right="0.7" top="0.59" bottom="0.32"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M46"/>
  <sheetViews>
    <sheetView zoomScalePageLayoutView="0" workbookViewId="0" topLeftCell="A1">
      <selection activeCell="H44" sqref="H44"/>
    </sheetView>
  </sheetViews>
  <sheetFormatPr defaultColWidth="9.00390625" defaultRowHeight="14.25"/>
  <cols>
    <col min="1" max="1" width="5.625" style="0" customWidth="1"/>
    <col min="2" max="2" width="40.00390625" style="0" customWidth="1"/>
    <col min="3" max="3" width="11.625" style="0" customWidth="1"/>
    <col min="4" max="4" width="10.75390625" style="0" customWidth="1"/>
    <col min="5" max="5" width="11.875" style="0" customWidth="1"/>
    <col min="6" max="8" width="9.25390625" style="0" customWidth="1"/>
    <col min="9" max="12" width="7.375" style="0" customWidth="1"/>
    <col min="13" max="13" width="8.00390625" style="0" customWidth="1"/>
    <col min="14" max="14" width="10.00390625" style="0" customWidth="1"/>
  </cols>
  <sheetData>
    <row r="1" ht="15.75">
      <c r="M1" s="169" t="s">
        <v>181</v>
      </c>
    </row>
    <row r="2" spans="1:13" ht="15.75">
      <c r="A2" s="491" t="s">
        <v>566</v>
      </c>
      <c r="B2" s="491"/>
      <c r="C2" s="491"/>
      <c r="D2" s="491"/>
      <c r="E2" s="491"/>
      <c r="F2" s="491"/>
      <c r="G2" s="491"/>
      <c r="H2" s="491"/>
      <c r="I2" s="491"/>
      <c r="J2" s="491"/>
      <c r="K2" s="491"/>
      <c r="L2" s="491"/>
      <c r="M2" s="491"/>
    </row>
    <row r="3" spans="1:13" ht="15" customHeight="1">
      <c r="A3" s="492" t="str">
        <f>'15'!A3:G3</f>
        <v>(Kèm theo Tờ trình số         /TTr-HĐND  ngày        tháng 12 năm 2022 của UBND huyện Hạ Lang)</v>
      </c>
      <c r="B3" s="492"/>
      <c r="C3" s="492"/>
      <c r="D3" s="492"/>
      <c r="E3" s="492"/>
      <c r="F3" s="492"/>
      <c r="G3" s="492"/>
      <c r="H3" s="492"/>
      <c r="I3" s="492"/>
      <c r="J3" s="492"/>
      <c r="K3" s="492"/>
      <c r="L3" s="492"/>
      <c r="M3" s="492"/>
    </row>
    <row r="4" ht="15.75">
      <c r="M4" s="170" t="s">
        <v>9</v>
      </c>
    </row>
    <row r="5" spans="1:13" ht="25.5" customHeight="1">
      <c r="A5" s="490" t="s">
        <v>4</v>
      </c>
      <c r="B5" s="490" t="s">
        <v>239</v>
      </c>
      <c r="C5" s="490" t="s">
        <v>210</v>
      </c>
      <c r="D5" s="490" t="s">
        <v>344</v>
      </c>
      <c r="E5" s="490" t="s">
        <v>345</v>
      </c>
      <c r="F5" s="490" t="s">
        <v>242</v>
      </c>
      <c r="G5" s="490" t="s">
        <v>243</v>
      </c>
      <c r="H5" s="490" t="s">
        <v>244</v>
      </c>
      <c r="I5" s="490" t="s">
        <v>21</v>
      </c>
      <c r="J5" s="490" t="s">
        <v>245</v>
      </c>
      <c r="K5" s="490"/>
      <c r="L5" s="490"/>
      <c r="M5" s="490" t="s">
        <v>246</v>
      </c>
    </row>
    <row r="6" spans="1:13" ht="93" customHeight="1">
      <c r="A6" s="490"/>
      <c r="B6" s="490"/>
      <c r="C6" s="490"/>
      <c r="D6" s="490"/>
      <c r="E6" s="490"/>
      <c r="F6" s="490"/>
      <c r="G6" s="490"/>
      <c r="H6" s="490"/>
      <c r="I6" s="490"/>
      <c r="J6" s="171" t="s">
        <v>210</v>
      </c>
      <c r="K6" s="171" t="s">
        <v>247</v>
      </c>
      <c r="L6" s="171" t="s">
        <v>568</v>
      </c>
      <c r="M6" s="490"/>
    </row>
    <row r="7" spans="1:13" ht="15.75">
      <c r="A7" s="171" t="s">
        <v>6</v>
      </c>
      <c r="B7" s="171" t="s">
        <v>7</v>
      </c>
      <c r="C7" s="171">
        <v>1</v>
      </c>
      <c r="D7" s="171">
        <v>2</v>
      </c>
      <c r="E7" s="171">
        <v>3</v>
      </c>
      <c r="F7" s="171">
        <v>4</v>
      </c>
      <c r="G7" s="171">
        <v>5</v>
      </c>
      <c r="H7" s="171">
        <v>6</v>
      </c>
      <c r="I7" s="171">
        <v>7</v>
      </c>
      <c r="J7" s="171">
        <v>8</v>
      </c>
      <c r="K7" s="171">
        <v>9</v>
      </c>
      <c r="L7" s="171">
        <v>10</v>
      </c>
      <c r="M7" s="171">
        <v>11</v>
      </c>
    </row>
    <row r="8" spans="1:13" s="173" customFormat="1" ht="15.75">
      <c r="A8" s="245"/>
      <c r="B8" s="172" t="s">
        <v>206</v>
      </c>
      <c r="C8" s="448">
        <f aca="true" t="shared" si="0" ref="C8:M8">C9+C41+C42+C43+C44+C45+C46</f>
        <v>461785.094</v>
      </c>
      <c r="D8" s="448">
        <f t="shared" si="0"/>
        <v>16113</v>
      </c>
      <c r="E8" s="448">
        <f t="shared" si="0"/>
        <v>249719.78400000004</v>
      </c>
      <c r="F8" s="448">
        <f t="shared" si="0"/>
        <v>0</v>
      </c>
      <c r="G8" s="448">
        <f t="shared" si="0"/>
        <v>0</v>
      </c>
      <c r="H8" s="448">
        <f t="shared" si="0"/>
        <v>5272.3099999999995</v>
      </c>
      <c r="I8" s="448">
        <f t="shared" si="0"/>
        <v>0</v>
      </c>
      <c r="J8" s="448">
        <f t="shared" si="0"/>
        <v>190680</v>
      </c>
      <c r="K8" s="448">
        <f t="shared" si="0"/>
        <v>93511</v>
      </c>
      <c r="L8" s="448">
        <f t="shared" si="0"/>
        <v>97169</v>
      </c>
      <c r="M8" s="448">
        <f t="shared" si="0"/>
        <v>0</v>
      </c>
    </row>
    <row r="9" spans="1:13" s="173" customFormat="1" ht="15.75">
      <c r="A9" s="174" t="s">
        <v>15</v>
      </c>
      <c r="B9" s="175" t="s">
        <v>346</v>
      </c>
      <c r="C9" s="458">
        <f aca="true" t="shared" si="1" ref="C9:M9">SUM(C10:C40)</f>
        <v>456512.784</v>
      </c>
      <c r="D9" s="458">
        <f t="shared" si="1"/>
        <v>16113</v>
      </c>
      <c r="E9" s="458">
        <f t="shared" si="1"/>
        <v>249719.78400000004</v>
      </c>
      <c r="F9" s="458">
        <f t="shared" si="1"/>
        <v>0</v>
      </c>
      <c r="G9" s="458">
        <f t="shared" si="1"/>
        <v>0</v>
      </c>
      <c r="H9" s="458">
        <f t="shared" si="1"/>
        <v>0</v>
      </c>
      <c r="I9" s="458">
        <f t="shared" si="1"/>
        <v>0</v>
      </c>
      <c r="J9" s="458">
        <f t="shared" si="1"/>
        <v>190680</v>
      </c>
      <c r="K9" s="458">
        <f t="shared" si="1"/>
        <v>93511</v>
      </c>
      <c r="L9" s="458">
        <f t="shared" si="1"/>
        <v>97169</v>
      </c>
      <c r="M9" s="458">
        <f t="shared" si="1"/>
        <v>0</v>
      </c>
    </row>
    <row r="10" spans="1:13" s="12" customFormat="1" ht="15.75">
      <c r="A10" s="176">
        <v>1</v>
      </c>
      <c r="B10" s="148" t="s">
        <v>322</v>
      </c>
      <c r="C10" s="459">
        <f>D10+E10+F10+G10+H10+I10+J10+M10</f>
        <v>5182.626</v>
      </c>
      <c r="D10" s="459"/>
      <c r="E10" s="459">
        <f>'Biểu 37 huyện'!C9</f>
        <v>5182.626</v>
      </c>
      <c r="F10" s="459"/>
      <c r="G10" s="459"/>
      <c r="H10" s="459"/>
      <c r="I10" s="459"/>
      <c r="J10" s="459"/>
      <c r="K10" s="459"/>
      <c r="L10" s="459"/>
      <c r="M10" s="459"/>
    </row>
    <row r="11" spans="1:13" s="12" customFormat="1" ht="15.75">
      <c r="A11" s="176">
        <v>2</v>
      </c>
      <c r="B11" s="148" t="s">
        <v>323</v>
      </c>
      <c r="C11" s="459">
        <f aca="true" t="shared" si="2" ref="C11:C45">D11+E11+F11+G11+H11+I11+J11+M11</f>
        <v>104910.53499999999</v>
      </c>
      <c r="D11" s="459"/>
      <c r="E11" s="459">
        <f>'Biểu 37 huyện'!C10</f>
        <v>104910.53499999999</v>
      </c>
      <c r="F11" s="459"/>
      <c r="G11" s="459"/>
      <c r="H11" s="459"/>
      <c r="I11" s="459"/>
      <c r="J11" s="459"/>
      <c r="K11" s="459"/>
      <c r="L11" s="459"/>
      <c r="M11" s="459"/>
    </row>
    <row r="12" spans="1:13" s="12" customFormat="1" ht="15.75">
      <c r="A12" s="176">
        <v>3</v>
      </c>
      <c r="B12" s="148" t="s">
        <v>324</v>
      </c>
      <c r="C12" s="459">
        <f t="shared" si="2"/>
        <v>1537.085</v>
      </c>
      <c r="D12" s="459"/>
      <c r="E12" s="459">
        <f>'Biểu 37 huyện'!C11</f>
        <v>1537.085</v>
      </c>
      <c r="F12" s="459"/>
      <c r="G12" s="459"/>
      <c r="H12" s="459"/>
      <c r="I12" s="459"/>
      <c r="J12" s="459"/>
      <c r="K12" s="459"/>
      <c r="L12" s="459"/>
      <c r="M12" s="459"/>
    </row>
    <row r="13" spans="1:13" s="12" customFormat="1" ht="15.75">
      <c r="A13" s="176">
        <v>4</v>
      </c>
      <c r="B13" s="148" t="s">
        <v>325</v>
      </c>
      <c r="C13" s="459">
        <f t="shared" si="2"/>
        <v>1378.935</v>
      </c>
      <c r="D13" s="459"/>
      <c r="E13" s="459">
        <f>'Biểu 37 huyện'!C12</f>
        <v>1378.935</v>
      </c>
      <c r="F13" s="459"/>
      <c r="G13" s="459"/>
      <c r="H13" s="459"/>
      <c r="I13" s="459"/>
      <c r="J13" s="459"/>
      <c r="K13" s="459"/>
      <c r="L13" s="459"/>
      <c r="M13" s="459"/>
    </row>
    <row r="14" spans="1:13" s="12" customFormat="1" ht="15.75">
      <c r="A14" s="176">
        <v>5</v>
      </c>
      <c r="B14" s="148" t="s">
        <v>326</v>
      </c>
      <c r="C14" s="459">
        <f t="shared" si="2"/>
        <v>3718.992</v>
      </c>
      <c r="D14" s="459"/>
      <c r="E14" s="459">
        <f>'Biểu 37 huyện'!C13</f>
        <v>3718.992</v>
      </c>
      <c r="F14" s="459"/>
      <c r="G14" s="459"/>
      <c r="H14" s="459"/>
      <c r="I14" s="459"/>
      <c r="J14" s="459"/>
      <c r="K14" s="459"/>
      <c r="L14" s="459"/>
      <c r="M14" s="459"/>
    </row>
    <row r="15" spans="1:13" s="12" customFormat="1" ht="15.75">
      <c r="A15" s="176">
        <v>6</v>
      </c>
      <c r="B15" s="148" t="s">
        <v>327</v>
      </c>
      <c r="C15" s="459">
        <f t="shared" si="2"/>
        <v>1400.5459999999998</v>
      </c>
      <c r="D15" s="459"/>
      <c r="E15" s="459">
        <f>'Biểu 37 huyện'!C14</f>
        <v>1400.5459999999998</v>
      </c>
      <c r="F15" s="459"/>
      <c r="G15" s="459"/>
      <c r="H15" s="459"/>
      <c r="I15" s="459"/>
      <c r="J15" s="459"/>
      <c r="K15" s="459"/>
      <c r="L15" s="459"/>
      <c r="M15" s="459"/>
    </row>
    <row r="16" spans="1:13" s="12" customFormat="1" ht="15.75">
      <c r="A16" s="176">
        <v>7</v>
      </c>
      <c r="B16" s="148" t="s">
        <v>328</v>
      </c>
      <c r="C16" s="459">
        <f t="shared" si="2"/>
        <v>16506.493000000002</v>
      </c>
      <c r="D16" s="459"/>
      <c r="E16" s="459">
        <f>'Biểu 37 huyện'!C15</f>
        <v>16506.493000000002</v>
      </c>
      <c r="F16" s="459"/>
      <c r="G16" s="459"/>
      <c r="H16" s="459"/>
      <c r="I16" s="459"/>
      <c r="J16" s="459"/>
      <c r="K16" s="459"/>
      <c r="L16" s="459"/>
      <c r="M16" s="459"/>
    </row>
    <row r="17" spans="1:13" s="12" customFormat="1" ht="15.75">
      <c r="A17" s="177">
        <v>8</v>
      </c>
      <c r="B17" s="149" t="s">
        <v>329</v>
      </c>
      <c r="C17" s="460">
        <f t="shared" si="2"/>
        <v>14930.544</v>
      </c>
      <c r="D17" s="460"/>
      <c r="E17" s="459">
        <f>'Biểu 37 huyện'!C16</f>
        <v>14930.544</v>
      </c>
      <c r="F17" s="459"/>
      <c r="G17" s="459"/>
      <c r="H17" s="459"/>
      <c r="I17" s="459"/>
      <c r="J17" s="459"/>
      <c r="K17" s="459"/>
      <c r="L17" s="459"/>
      <c r="M17" s="459"/>
    </row>
    <row r="18" spans="1:13" s="12" customFormat="1" ht="15.75">
      <c r="A18" s="176">
        <v>9</v>
      </c>
      <c r="B18" s="148" t="s">
        <v>342</v>
      </c>
      <c r="C18" s="459">
        <f t="shared" si="2"/>
        <v>4817.718</v>
      </c>
      <c r="D18" s="459"/>
      <c r="E18" s="459">
        <f>'Biểu 37 huyện'!C17</f>
        <v>4817.718</v>
      </c>
      <c r="F18" s="459"/>
      <c r="G18" s="459"/>
      <c r="H18" s="459"/>
      <c r="I18" s="459"/>
      <c r="J18" s="459"/>
      <c r="K18" s="459"/>
      <c r="L18" s="459"/>
      <c r="M18" s="459"/>
    </row>
    <row r="19" spans="1:13" s="12" customFormat="1" ht="15.75">
      <c r="A19" s="176">
        <v>10</v>
      </c>
      <c r="B19" s="148" t="s">
        <v>330</v>
      </c>
      <c r="C19" s="459">
        <f t="shared" si="2"/>
        <v>566.723</v>
      </c>
      <c r="D19" s="459"/>
      <c r="E19" s="459">
        <f>'Biểu 37 huyện'!C18</f>
        <v>566.723</v>
      </c>
      <c r="F19" s="459"/>
      <c r="G19" s="459"/>
      <c r="H19" s="459"/>
      <c r="I19" s="459"/>
      <c r="J19" s="459"/>
      <c r="K19" s="459"/>
      <c r="L19" s="459"/>
      <c r="M19" s="459"/>
    </row>
    <row r="20" spans="1:13" s="12" customFormat="1" ht="15.75">
      <c r="A20" s="176">
        <v>11</v>
      </c>
      <c r="B20" s="148" t="s">
        <v>289</v>
      </c>
      <c r="C20" s="459">
        <f t="shared" si="2"/>
        <v>504.132</v>
      </c>
      <c r="D20" s="459"/>
      <c r="E20" s="459">
        <f>'Biểu 37 huyện'!C20</f>
        <v>504.132</v>
      </c>
      <c r="F20" s="459"/>
      <c r="G20" s="459"/>
      <c r="H20" s="459"/>
      <c r="I20" s="459"/>
      <c r="J20" s="459"/>
      <c r="K20" s="459"/>
      <c r="L20" s="459"/>
      <c r="M20" s="459"/>
    </row>
    <row r="21" spans="1:13" s="12" customFormat="1" ht="15.75">
      <c r="A21" s="176">
        <v>12</v>
      </c>
      <c r="B21" s="148" t="s">
        <v>341</v>
      </c>
      <c r="C21" s="459">
        <f t="shared" si="2"/>
        <v>801.446</v>
      </c>
      <c r="D21" s="459"/>
      <c r="E21" s="459">
        <f>'Biểu 37 huyện'!C21</f>
        <v>801.446</v>
      </c>
      <c r="F21" s="459"/>
      <c r="G21" s="459"/>
      <c r="H21" s="459"/>
      <c r="I21" s="459"/>
      <c r="J21" s="459"/>
      <c r="K21" s="459"/>
      <c r="L21" s="459"/>
      <c r="M21" s="459"/>
    </row>
    <row r="22" spans="1:13" s="12" customFormat="1" ht="15.75">
      <c r="A22" s="176">
        <v>13</v>
      </c>
      <c r="B22" s="148" t="s">
        <v>331</v>
      </c>
      <c r="C22" s="459">
        <f t="shared" si="2"/>
        <v>2268.815</v>
      </c>
      <c r="D22" s="459"/>
      <c r="E22" s="459">
        <f>'Biểu 37 huyện'!C22</f>
        <v>2268.815</v>
      </c>
      <c r="F22" s="459"/>
      <c r="G22" s="459"/>
      <c r="H22" s="459"/>
      <c r="I22" s="459"/>
      <c r="J22" s="459"/>
      <c r="K22" s="459"/>
      <c r="L22" s="459"/>
      <c r="M22" s="459"/>
    </row>
    <row r="23" spans="1:13" s="12" customFormat="1" ht="15.75">
      <c r="A23" s="176">
        <v>14</v>
      </c>
      <c r="B23" s="148" t="s">
        <v>332</v>
      </c>
      <c r="C23" s="459">
        <f t="shared" si="2"/>
        <v>2174.916</v>
      </c>
      <c r="D23" s="459"/>
      <c r="E23" s="459">
        <f>'Biểu 37 huyện'!C23</f>
        <v>2174.916</v>
      </c>
      <c r="F23" s="459"/>
      <c r="G23" s="459"/>
      <c r="H23" s="459"/>
      <c r="I23" s="459"/>
      <c r="J23" s="459"/>
      <c r="K23" s="459"/>
      <c r="L23" s="459"/>
      <c r="M23" s="459"/>
    </row>
    <row r="24" spans="1:13" s="12" customFormat="1" ht="15.75">
      <c r="A24" s="176">
        <v>15</v>
      </c>
      <c r="B24" s="148" t="s">
        <v>391</v>
      </c>
      <c r="C24" s="459">
        <f t="shared" si="2"/>
        <v>9487.722</v>
      </c>
      <c r="D24" s="459"/>
      <c r="E24" s="459">
        <f>'Biểu 37 huyện'!C24</f>
        <v>9487.722</v>
      </c>
      <c r="F24" s="459"/>
      <c r="G24" s="459"/>
      <c r="H24" s="459"/>
      <c r="I24" s="459"/>
      <c r="J24" s="459"/>
      <c r="K24" s="459"/>
      <c r="L24" s="459"/>
      <c r="M24" s="459"/>
    </row>
    <row r="25" spans="1:13" s="12" customFormat="1" ht="15.75">
      <c r="A25" s="176">
        <v>16</v>
      </c>
      <c r="B25" s="148" t="s">
        <v>293</v>
      </c>
      <c r="C25" s="459">
        <f t="shared" si="2"/>
        <v>1496.681</v>
      </c>
      <c r="D25" s="459"/>
      <c r="E25" s="459">
        <f>'Biểu 37 huyện'!C25</f>
        <v>1496.681</v>
      </c>
      <c r="F25" s="459"/>
      <c r="G25" s="459"/>
      <c r="H25" s="459"/>
      <c r="I25" s="459"/>
      <c r="J25" s="459"/>
      <c r="K25" s="459"/>
      <c r="L25" s="459"/>
      <c r="M25" s="459"/>
    </row>
    <row r="26" spans="1:13" s="12" customFormat="1" ht="21" customHeight="1">
      <c r="A26" s="176">
        <v>17</v>
      </c>
      <c r="B26" s="148" t="s">
        <v>343</v>
      </c>
      <c r="C26" s="459">
        <f t="shared" si="2"/>
        <v>685.445</v>
      </c>
      <c r="D26" s="459"/>
      <c r="E26" s="459">
        <f>'Biểu 37 huyện'!C26</f>
        <v>685.445</v>
      </c>
      <c r="F26" s="459"/>
      <c r="G26" s="459"/>
      <c r="H26" s="459"/>
      <c r="I26" s="459"/>
      <c r="J26" s="459"/>
      <c r="K26" s="459"/>
      <c r="L26" s="459"/>
      <c r="M26" s="459"/>
    </row>
    <row r="27" spans="1:13" s="12" customFormat="1" ht="15.75">
      <c r="A27" s="176">
        <v>18</v>
      </c>
      <c r="B27" s="148" t="s">
        <v>333</v>
      </c>
      <c r="C27" s="459">
        <f t="shared" si="2"/>
        <v>7652.003</v>
      </c>
      <c r="D27" s="459"/>
      <c r="E27" s="459">
        <f>'Biểu 37 huyện'!C27</f>
        <v>7652.003</v>
      </c>
      <c r="F27" s="459"/>
      <c r="G27" s="459"/>
      <c r="H27" s="459"/>
      <c r="I27" s="459"/>
      <c r="J27" s="459"/>
      <c r="K27" s="459"/>
      <c r="L27" s="459"/>
      <c r="M27" s="459"/>
    </row>
    <row r="28" spans="1:13" s="12" customFormat="1" ht="15.75">
      <c r="A28" s="176">
        <v>19</v>
      </c>
      <c r="B28" s="148" t="s">
        <v>334</v>
      </c>
      <c r="C28" s="459">
        <f t="shared" si="2"/>
        <v>960.786</v>
      </c>
      <c r="D28" s="459"/>
      <c r="E28" s="459">
        <f>'Biểu 37 huyện'!C28</f>
        <v>960.786</v>
      </c>
      <c r="F28" s="459"/>
      <c r="G28" s="459"/>
      <c r="H28" s="459"/>
      <c r="I28" s="459"/>
      <c r="J28" s="459"/>
      <c r="K28" s="459"/>
      <c r="L28" s="459"/>
      <c r="M28" s="459"/>
    </row>
    <row r="29" spans="1:13" s="12" customFormat="1" ht="15.75">
      <c r="A29" s="176">
        <v>20</v>
      </c>
      <c r="B29" s="148" t="s">
        <v>290</v>
      </c>
      <c r="C29" s="459">
        <f t="shared" si="2"/>
        <v>751.657</v>
      </c>
      <c r="D29" s="459"/>
      <c r="E29" s="459">
        <f>'Biểu 37 huyện'!C29</f>
        <v>751.657</v>
      </c>
      <c r="F29" s="459"/>
      <c r="G29" s="459"/>
      <c r="H29" s="459"/>
      <c r="I29" s="459"/>
      <c r="J29" s="459"/>
      <c r="K29" s="459"/>
      <c r="L29" s="459"/>
      <c r="M29" s="459"/>
    </row>
    <row r="30" spans="1:13" s="12" customFormat="1" ht="15.75">
      <c r="A30" s="176">
        <v>21</v>
      </c>
      <c r="B30" s="148" t="s">
        <v>335</v>
      </c>
      <c r="C30" s="459">
        <f t="shared" si="2"/>
        <v>712.99</v>
      </c>
      <c r="D30" s="459"/>
      <c r="E30" s="459">
        <f>'Biểu 37 huyện'!C30</f>
        <v>712.99</v>
      </c>
      <c r="F30" s="459"/>
      <c r="G30" s="459"/>
      <c r="H30" s="459"/>
      <c r="I30" s="459"/>
      <c r="J30" s="459"/>
      <c r="K30" s="459"/>
      <c r="L30" s="459"/>
      <c r="M30" s="459"/>
    </row>
    <row r="31" spans="1:13" s="12" customFormat="1" ht="15.75">
      <c r="A31" s="176">
        <v>22</v>
      </c>
      <c r="B31" s="148" t="s">
        <v>291</v>
      </c>
      <c r="C31" s="459">
        <f t="shared" si="2"/>
        <v>960.562</v>
      </c>
      <c r="D31" s="459"/>
      <c r="E31" s="459">
        <f>'Biểu 37 huyện'!C31</f>
        <v>960.562</v>
      </c>
      <c r="F31" s="459"/>
      <c r="G31" s="459"/>
      <c r="H31" s="459"/>
      <c r="I31" s="459"/>
      <c r="J31" s="459"/>
      <c r="K31" s="459"/>
      <c r="L31" s="459"/>
      <c r="M31" s="459"/>
    </row>
    <row r="32" spans="1:13" s="12" customFormat="1" ht="15.75">
      <c r="A32" s="176">
        <v>23</v>
      </c>
      <c r="B32" s="148" t="s">
        <v>292</v>
      </c>
      <c r="C32" s="459">
        <f t="shared" si="2"/>
        <v>487.646</v>
      </c>
      <c r="D32" s="459"/>
      <c r="E32" s="459">
        <f>'Biểu 37 huyện'!C32</f>
        <v>487.646</v>
      </c>
      <c r="F32" s="459"/>
      <c r="G32" s="459"/>
      <c r="H32" s="459"/>
      <c r="I32" s="459"/>
      <c r="J32" s="459"/>
      <c r="K32" s="459"/>
      <c r="L32" s="459"/>
      <c r="M32" s="459"/>
    </row>
    <row r="33" spans="1:13" s="12" customFormat="1" ht="15.75">
      <c r="A33" s="176">
        <v>24</v>
      </c>
      <c r="B33" s="148" t="s">
        <v>336</v>
      </c>
      <c r="C33" s="459">
        <f t="shared" si="2"/>
        <v>181.668</v>
      </c>
      <c r="D33" s="459"/>
      <c r="E33" s="459">
        <f>'Biểu 37 huyện'!C33</f>
        <v>181.668</v>
      </c>
      <c r="F33" s="459"/>
      <c r="G33" s="459"/>
      <c r="H33" s="459"/>
      <c r="I33" s="459"/>
      <c r="J33" s="459"/>
      <c r="K33" s="459"/>
      <c r="L33" s="459"/>
      <c r="M33" s="459"/>
    </row>
    <row r="34" spans="1:13" s="12" customFormat="1" ht="15.75">
      <c r="A34" s="176">
        <v>25</v>
      </c>
      <c r="B34" s="148" t="s">
        <v>337</v>
      </c>
      <c r="C34" s="459">
        <f t="shared" si="2"/>
        <v>115.596</v>
      </c>
      <c r="D34" s="459"/>
      <c r="E34" s="459">
        <f>'Biểu 37 huyện'!C34</f>
        <v>115.596</v>
      </c>
      <c r="F34" s="459"/>
      <c r="G34" s="459"/>
      <c r="H34" s="459"/>
      <c r="I34" s="459"/>
      <c r="J34" s="459"/>
      <c r="K34" s="459"/>
      <c r="L34" s="459"/>
      <c r="M34" s="459"/>
    </row>
    <row r="35" spans="1:13" s="12" customFormat="1" ht="15.75">
      <c r="A35" s="176">
        <v>26</v>
      </c>
      <c r="B35" s="148" t="s">
        <v>338</v>
      </c>
      <c r="C35" s="459">
        <f t="shared" si="2"/>
        <v>115.596</v>
      </c>
      <c r="D35" s="459"/>
      <c r="E35" s="459">
        <f>'Biểu 37 huyện'!C35</f>
        <v>115.596</v>
      </c>
      <c r="F35" s="459"/>
      <c r="G35" s="459"/>
      <c r="H35" s="459"/>
      <c r="I35" s="459"/>
      <c r="J35" s="459"/>
      <c r="K35" s="459"/>
      <c r="L35" s="459"/>
      <c r="M35" s="459"/>
    </row>
    <row r="36" spans="1:13" s="12" customFormat="1" ht="15.75">
      <c r="A36" s="176">
        <v>27</v>
      </c>
      <c r="B36" s="148" t="s">
        <v>339</v>
      </c>
      <c r="C36" s="459">
        <f t="shared" si="2"/>
        <v>3353.983</v>
      </c>
      <c r="D36" s="459"/>
      <c r="E36" s="459">
        <f>'Biểu 37 huyện'!C36</f>
        <v>3353.983</v>
      </c>
      <c r="F36" s="459"/>
      <c r="G36" s="459"/>
      <c r="H36" s="459"/>
      <c r="I36" s="459"/>
      <c r="J36" s="459"/>
      <c r="K36" s="459"/>
      <c r="L36" s="459"/>
      <c r="M36" s="459"/>
    </row>
    <row r="37" spans="1:13" s="12" customFormat="1" ht="15.75">
      <c r="A37" s="176">
        <v>28</v>
      </c>
      <c r="B37" s="178" t="s">
        <v>294</v>
      </c>
      <c r="C37" s="459">
        <f t="shared" si="2"/>
        <v>350</v>
      </c>
      <c r="D37" s="459"/>
      <c r="E37" s="459">
        <f>'Biểu 37 huyện'!C37</f>
        <v>350</v>
      </c>
      <c r="F37" s="459"/>
      <c r="G37" s="459"/>
      <c r="H37" s="459"/>
      <c r="I37" s="459"/>
      <c r="J37" s="459"/>
      <c r="K37" s="459"/>
      <c r="L37" s="459"/>
      <c r="M37" s="459"/>
    </row>
    <row r="38" spans="1:13" s="12" customFormat="1" ht="30">
      <c r="A38" s="176">
        <v>29</v>
      </c>
      <c r="B38" s="269" t="s">
        <v>340</v>
      </c>
      <c r="C38" s="459">
        <f t="shared" si="2"/>
        <v>19082.295000000002</v>
      </c>
      <c r="D38" s="459"/>
      <c r="E38" s="459">
        <f>'Biểu 37 huyện'!C38</f>
        <v>19082.295000000002</v>
      </c>
      <c r="F38" s="459"/>
      <c r="G38" s="459"/>
      <c r="H38" s="459"/>
      <c r="I38" s="459"/>
      <c r="J38" s="459"/>
      <c r="K38" s="459"/>
      <c r="L38" s="459"/>
      <c r="M38" s="459"/>
    </row>
    <row r="39" spans="1:13" s="12" customFormat="1" ht="45">
      <c r="A39" s="176">
        <v>30</v>
      </c>
      <c r="B39" s="453" t="s">
        <v>408</v>
      </c>
      <c r="C39" s="459">
        <f t="shared" si="2"/>
        <v>350</v>
      </c>
      <c r="D39" s="459"/>
      <c r="E39" s="459">
        <f>'Biểu 37 huyện'!C39</f>
        <v>350</v>
      </c>
      <c r="F39" s="459"/>
      <c r="G39" s="459"/>
      <c r="H39" s="459"/>
      <c r="I39" s="459"/>
      <c r="J39" s="459"/>
      <c r="K39" s="459"/>
      <c r="L39" s="459"/>
      <c r="M39" s="459"/>
    </row>
    <row r="40" spans="1:13" s="12" customFormat="1" ht="15.75">
      <c r="A40" s="176">
        <v>31</v>
      </c>
      <c r="B40" s="148" t="s">
        <v>353</v>
      </c>
      <c r="C40" s="459">
        <f t="shared" si="2"/>
        <v>249068.648</v>
      </c>
      <c r="D40" s="459">
        <f>16463-350</f>
        <v>16113</v>
      </c>
      <c r="E40" s="459">
        <f>'Biểu 37 huyện'!C40</f>
        <v>42275.648</v>
      </c>
      <c r="F40" s="459"/>
      <c r="G40" s="459"/>
      <c r="H40" s="459"/>
      <c r="I40" s="459"/>
      <c r="J40" s="459">
        <f>K40+L40</f>
        <v>190680</v>
      </c>
      <c r="K40" s="459">
        <f>'38'!C11</f>
        <v>93511</v>
      </c>
      <c r="L40" s="459">
        <f>'38'!C12</f>
        <v>97169</v>
      </c>
      <c r="M40" s="459"/>
    </row>
    <row r="41" spans="1:13" ht="31.5">
      <c r="A41" s="179" t="s">
        <v>11</v>
      </c>
      <c r="B41" s="180" t="s">
        <v>248</v>
      </c>
      <c r="C41" s="459">
        <f t="shared" si="2"/>
        <v>0</v>
      </c>
      <c r="D41" s="459"/>
      <c r="E41" s="459"/>
      <c r="F41" s="459"/>
      <c r="G41" s="459"/>
      <c r="H41" s="459"/>
      <c r="I41" s="459"/>
      <c r="J41" s="459"/>
      <c r="K41" s="459"/>
      <c r="L41" s="459"/>
      <c r="M41" s="459"/>
    </row>
    <row r="42" spans="1:13" ht="31.5">
      <c r="A42" s="179" t="s">
        <v>12</v>
      </c>
      <c r="B42" s="180" t="s">
        <v>249</v>
      </c>
      <c r="C42" s="459">
        <f t="shared" si="2"/>
        <v>0</v>
      </c>
      <c r="D42" s="459"/>
      <c r="E42" s="459"/>
      <c r="F42" s="459"/>
      <c r="G42" s="459"/>
      <c r="H42" s="459"/>
      <c r="I42" s="459"/>
      <c r="J42" s="459"/>
      <c r="K42" s="459"/>
      <c r="L42" s="459"/>
      <c r="M42" s="459"/>
    </row>
    <row r="43" spans="1:13" ht="15.75">
      <c r="A43" s="179" t="s">
        <v>13</v>
      </c>
      <c r="B43" s="180" t="s">
        <v>250</v>
      </c>
      <c r="C43" s="459">
        <f t="shared" si="2"/>
        <v>5272.3099999999995</v>
      </c>
      <c r="D43" s="459"/>
      <c r="E43" s="459"/>
      <c r="F43" s="459"/>
      <c r="G43" s="459"/>
      <c r="H43" s="459">
        <f>'33'!D26</f>
        <v>5272.3099999999995</v>
      </c>
      <c r="I43" s="459"/>
      <c r="J43" s="459"/>
      <c r="K43" s="459"/>
      <c r="L43" s="459"/>
      <c r="M43" s="459"/>
    </row>
    <row r="44" spans="1:13" ht="31.5">
      <c r="A44" s="179" t="s">
        <v>24</v>
      </c>
      <c r="B44" s="180" t="s">
        <v>251</v>
      </c>
      <c r="C44" s="459">
        <f t="shared" si="2"/>
        <v>0</v>
      </c>
      <c r="D44" s="459"/>
      <c r="E44" s="459"/>
      <c r="F44" s="459"/>
      <c r="G44" s="459"/>
      <c r="H44" s="459"/>
      <c r="I44" s="459"/>
      <c r="J44" s="459"/>
      <c r="K44" s="459"/>
      <c r="L44" s="459"/>
      <c r="M44" s="459"/>
    </row>
    <row r="45" spans="1:13" ht="31.5">
      <c r="A45" s="179" t="s">
        <v>90</v>
      </c>
      <c r="B45" s="180" t="s">
        <v>252</v>
      </c>
      <c r="C45" s="459">
        <f t="shared" si="2"/>
        <v>0</v>
      </c>
      <c r="D45" s="459"/>
      <c r="E45" s="459"/>
      <c r="F45" s="459"/>
      <c r="G45" s="459"/>
      <c r="H45" s="459"/>
      <c r="I45" s="459"/>
      <c r="J45" s="459"/>
      <c r="K45" s="459"/>
      <c r="L45" s="459"/>
      <c r="M45" s="459"/>
    </row>
    <row r="46" spans="1:13" ht="31.5">
      <c r="A46" s="181" t="s">
        <v>253</v>
      </c>
      <c r="B46" s="182" t="s">
        <v>254</v>
      </c>
      <c r="C46" s="461"/>
      <c r="D46" s="461"/>
      <c r="E46" s="461"/>
      <c r="F46" s="461"/>
      <c r="G46" s="461"/>
      <c r="H46" s="461"/>
      <c r="I46" s="461"/>
      <c r="J46" s="461"/>
      <c r="K46" s="461"/>
      <c r="L46" s="461"/>
      <c r="M46" s="461"/>
    </row>
  </sheetData>
  <sheetProtection/>
  <mergeCells count="13">
    <mergeCell ref="A2:M2"/>
    <mergeCell ref="A5:A6"/>
    <mergeCell ref="B5:B6"/>
    <mergeCell ref="C5:C6"/>
    <mergeCell ref="D5:D6"/>
    <mergeCell ref="E5:E6"/>
    <mergeCell ref="A3:M3"/>
    <mergeCell ref="F5:F6"/>
    <mergeCell ref="G5:G6"/>
    <mergeCell ref="H5:H6"/>
    <mergeCell ref="I5:I6"/>
    <mergeCell ref="J5:L5"/>
    <mergeCell ref="M5:M6"/>
  </mergeCells>
  <printOptions/>
  <pageMargins left="0.24" right="0.19" top="0.32" bottom="0.31"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cp:lastModifiedBy>
  <cp:lastPrinted>2022-12-15T11:34:01Z</cp:lastPrinted>
  <dcterms:created xsi:type="dcterms:W3CDTF">2017-04-26T02:19:00Z</dcterms:created>
  <dcterms:modified xsi:type="dcterms:W3CDTF">2022-12-15T16:00:23Z</dcterms:modified>
  <cp:category/>
  <cp:version/>
  <cp:contentType/>
  <cp:contentStatus/>
</cp:coreProperties>
</file>