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2" windowHeight="9240" activeTab="2"/>
  </bookViews>
  <sheets>
    <sheet name="B 93" sheetId="1" r:id="rId1"/>
    <sheet name="B 94" sheetId="2" r:id="rId2"/>
    <sheet name="B 95" sheetId="3" r:id="rId3"/>
  </sheets>
  <definedNames/>
  <calcPr fullCalcOnLoad="1"/>
</workbook>
</file>

<file path=xl/sharedStrings.xml><?xml version="1.0" encoding="utf-8"?>
<sst xmlns="http://schemas.openxmlformats.org/spreadsheetml/2006/main" count="120" uniqueCount="77">
  <si>
    <t>Biểu số 93/CK-NSNN</t>
  </si>
  <si>
    <t>Đơn vị: Triệu đồng</t>
  </si>
  <si>
    <t>STT</t>
  </si>
  <si>
    <t>NỘI DUNG</t>
  </si>
  <si>
    <t xml:space="preserve">Dự toán năm </t>
  </si>
  <si>
    <t>So sánh ước thực hiện với (%)</t>
  </si>
  <si>
    <t>Dự toán năm</t>
  </si>
  <si>
    <t>Cùng kỳ năm trước</t>
  </si>
  <si>
    <t>A</t>
  </si>
  <si>
    <t>B</t>
  </si>
  <si>
    <t>3=2/1</t>
  </si>
  <si>
    <t>TỔNG NGUỒN THU NSNN TRÊN ĐỊA BÀN</t>
  </si>
  <si>
    <t>I</t>
  </si>
  <si>
    <t>Thu cân đối NSNN</t>
  </si>
  <si>
    <t>Thu nội địa</t>
  </si>
  <si>
    <t>Thu viện trợ</t>
  </si>
  <si>
    <t>II</t>
  </si>
  <si>
    <t>Thu chuyển nguồn từ năm trước chuyển sang</t>
  </si>
  <si>
    <t>TỔNG CHI NGÂN SÁCH HUYỆN</t>
  </si>
  <si>
    <t> I</t>
  </si>
  <si>
    <t>Tổng chi cân đối ngân sách huyện</t>
  </si>
  <si>
    <t>Chi đầu tư phát triển</t>
  </si>
  <si>
    <t>Chi thường xuyên</t>
  </si>
  <si>
    <t>Dự phòng ngân sách</t>
  </si>
  <si>
    <t>III</t>
  </si>
  <si>
    <t>Chi từ nguồn bổ sung có mục tiêu từ NS cấp tỉnh</t>
  </si>
  <si>
    <t>Biểu số 94/CK-NSNN</t>
  </si>
  <si>
    <t>TỔNG THU NSNN TRÊN ĐỊA BÀN</t>
  </si>
  <si>
    <t>Thu từ khu vực kinh tế ngoài quốc doanh</t>
  </si>
  <si>
    <t>Thuế thu nhập cá nhân</t>
  </si>
  <si>
    <t>Thuế bảo vệ môi trường</t>
  </si>
  <si>
    <t>Lệ phí trước bạ</t>
  </si>
  <si>
    <t>Thu phí, lệ phí</t>
  </si>
  <si>
    <t>Các khoản thu về nhà, đất</t>
  </si>
  <si>
    <t>-</t>
  </si>
  <si>
    <t>Thuế sử dụng đất nông nghiệp</t>
  </si>
  <si>
    <t>Thuế sử dụng đất phi nông nghiệp</t>
  </si>
  <si>
    <t>Thu tiền sử dụng đất</t>
  </si>
  <si>
    <t>Tiền cho thuê đất, thuê mặt nước</t>
  </si>
  <si>
    <t>Tiền cho thuê và tiền bán nhà ở thuộc sở hữu nhà nước</t>
  </si>
  <si>
    <t>Thu khác ngân sách</t>
  </si>
  <si>
    <t>Thu từ quỹ đất công ích, hoa lợi công sản khác</t>
  </si>
  <si>
    <t xml:space="preserve">THU NGÂN SÁCH HUYỆN ĐƯỢC HƯỞNG THEO PHÂN CẤP </t>
  </si>
  <si>
    <t>Từ các khoản thu phân chia</t>
  </si>
  <si>
    <t>Các khoản thu ngân sách huyện được hưởng 100%</t>
  </si>
  <si>
    <t>Biểu số 95/CK-NSNN</t>
  </si>
  <si>
    <t>CHI CÂN ĐỐI NGÂN SÁCH HUYỆN</t>
  </si>
  <si>
    <t>Chi đầu tư cho các dự án</t>
  </si>
  <si>
    <t>Chi đầu tư phát triển khác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</si>
  <si>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</si>
  <si>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</si>
  <si>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</si>
  <si>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</si>
  <si>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</si>
  <si>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</si>
  <si>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</si>
  <si>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</si>
  <si>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hoạt động kinh tế</t>
  </si>
  <si>
    <t>Chi hoạt động của cơ quan quản lý hành chính, đảng, đoàn thể</t>
  </si>
  <si>
    <t>Chi bảo đảm xã hội</t>
  </si>
  <si>
    <t>CHI TỪ NGUỒN BỔ SUNG CÓ MỤC TIÊU TỪ NGÂN SÁCH CẤP TRÊN</t>
  </si>
  <si>
    <t>Chương trình mục tiêu quốc gia</t>
  </si>
  <si>
    <t>Cho các nhiệm vụ, chính sách kinh phí thường xuyên</t>
  </si>
  <si>
    <t>Thực hiện</t>
  </si>
  <si>
    <t>So sánh thực hiện với (%)</t>
  </si>
  <si>
    <t xml:space="preserve">Thực hiện </t>
  </si>
  <si>
    <t>Thu cấp quyền khai thác khoáng sản</t>
  </si>
  <si>
    <t>Thực hiện 31/3/2020</t>
  </si>
  <si>
    <t>Thực hiện 31/03/2020</t>
  </si>
  <si>
    <t>Cho các chương trình dự án vốn đầu tư</t>
  </si>
  <si>
    <t>Thực hiện 31-3-2020</t>
  </si>
  <si>
    <t>UBND HUYỆN NGUYÊN BÌNH</t>
  </si>
  <si>
    <t>Thu từ doanh nghiệp nhà nước TW quản lý</t>
  </si>
  <si>
    <t>Thu từ doanh nghiệp nhà nước địa phương quản lý</t>
  </si>
  <si>
    <t>CÂN ĐỐI NGÂN SÁCH HUYỆN QUÝ II NĂM 2020</t>
  </si>
  <si>
    <t>THỰC HIỆN THU NGÂN SÁCH HUYỆN QUÝ II NĂM 2020</t>
  </si>
  <si>
    <t>THỰC HIỆN CHI NGÂN SÁCH HUYỆN QUÝ II NĂM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</si>
</sst>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#,##0.0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165" fontId="8" fillId="0" borderId="11" xfId="42" applyNumberFormat="1" applyFont="1" applyBorder="1" applyAlignment="1">
      <alignment horizontal="center" vertical="center" wrapText="1"/>
    </xf>
    <xf numFmtId="165" fontId="8" fillId="0" borderId="12" xfId="42" applyNumberFormat="1" applyFont="1" applyBorder="1" applyAlignment="1">
      <alignment horizontal="center" vertical="center" wrapText="1"/>
    </xf>
    <xf numFmtId="165" fontId="5" fillId="0" borderId="12" xfId="42" applyNumberFormat="1" applyFont="1" applyBorder="1" applyAlignment="1">
      <alignment horizontal="center" vertical="center" wrapText="1"/>
    </xf>
    <xf numFmtId="165" fontId="5" fillId="0" borderId="13" xfId="42" applyNumberFormat="1" applyFont="1" applyBorder="1" applyAlignment="1">
      <alignment horizontal="center" vertical="center" wrapText="1"/>
    </xf>
    <xf numFmtId="165" fontId="8" fillId="0" borderId="11" xfId="42" applyNumberFormat="1" applyFont="1" applyBorder="1" applyAlignment="1">
      <alignment horizontal="center" wrapText="1"/>
    </xf>
    <xf numFmtId="165" fontId="8" fillId="0" borderId="12" xfId="42" applyNumberFormat="1" applyFont="1" applyBorder="1" applyAlignment="1">
      <alignment horizontal="center" wrapText="1"/>
    </xf>
    <xf numFmtId="165" fontId="5" fillId="0" borderId="12" xfId="42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165" fontId="48" fillId="0" borderId="12" xfId="42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65" fontId="5" fillId="0" borderId="13" xfId="42" applyNumberFormat="1" applyFont="1" applyBorder="1" applyAlignment="1">
      <alignment/>
    </xf>
    <xf numFmtId="165" fontId="8" fillId="0" borderId="0" xfId="0" applyNumberFormat="1" applyFont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165" fontId="9" fillId="0" borderId="12" xfId="42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165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3" xfId="0" applyFont="1" applyBorder="1" applyAlignment="1">
      <alignment/>
    </xf>
    <xf numFmtId="165" fontId="5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8" fillId="0" borderId="11" xfId="42" applyNumberFormat="1" applyFont="1" applyBorder="1" applyAlignment="1">
      <alignment horizontal="center" vertical="center" wrapText="1"/>
    </xf>
    <xf numFmtId="166" fontId="8" fillId="0" borderId="12" xfId="42" applyNumberFormat="1" applyFont="1" applyBorder="1" applyAlignment="1">
      <alignment horizontal="center" vertical="center" wrapText="1"/>
    </xf>
    <xf numFmtId="166" fontId="5" fillId="0" borderId="12" xfId="42" applyNumberFormat="1" applyFont="1" applyBorder="1" applyAlignment="1">
      <alignment horizontal="center" vertical="center" wrapText="1"/>
    </xf>
    <xf numFmtId="166" fontId="5" fillId="0" borderId="13" xfId="42" applyNumberFormat="1" applyFont="1" applyBorder="1" applyAlignment="1">
      <alignment horizontal="center" vertical="center" wrapText="1"/>
    </xf>
    <xf numFmtId="166" fontId="8" fillId="0" borderId="11" xfId="42" applyNumberFormat="1" applyFont="1" applyBorder="1" applyAlignment="1">
      <alignment horizontal="center" wrapText="1"/>
    </xf>
    <xf numFmtId="166" fontId="8" fillId="0" borderId="12" xfId="42" applyNumberFormat="1" applyFont="1" applyBorder="1" applyAlignment="1">
      <alignment horizontal="center" wrapText="1"/>
    </xf>
    <xf numFmtId="166" fontId="5" fillId="0" borderId="12" xfId="42" applyNumberFormat="1" applyFont="1" applyBorder="1" applyAlignment="1">
      <alignment horizontal="center" wrapText="1"/>
    </xf>
    <xf numFmtId="166" fontId="9" fillId="0" borderId="12" xfId="42" applyNumberFormat="1" applyFont="1" applyBorder="1" applyAlignment="1">
      <alignment horizontal="center" wrapText="1"/>
    </xf>
    <xf numFmtId="166" fontId="5" fillId="0" borderId="13" xfId="42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7" fontId="8" fillId="0" borderId="11" xfId="42" applyNumberFormat="1" applyFont="1" applyBorder="1" applyAlignment="1">
      <alignment horizontal="center" vertical="center" wrapText="1"/>
    </xf>
    <xf numFmtId="167" fontId="8" fillId="0" borderId="12" xfId="42" applyNumberFormat="1" applyFont="1" applyBorder="1" applyAlignment="1">
      <alignment horizontal="center" vertical="center" wrapText="1"/>
    </xf>
    <xf numFmtId="167" fontId="5" fillId="0" borderId="12" xfId="42" applyNumberFormat="1" applyFont="1" applyBorder="1" applyAlignment="1">
      <alignment horizontal="center" vertical="center" wrapText="1"/>
    </xf>
    <xf numFmtId="167" fontId="5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9" sqref="F19"/>
    </sheetView>
  </sheetViews>
  <sheetFormatPr defaultColWidth="9.140625" defaultRowHeight="18" customHeight="1"/>
  <cols>
    <col min="1" max="1" width="6.7109375" style="1" customWidth="1"/>
    <col min="2" max="2" width="47.7109375" style="1" customWidth="1"/>
    <col min="3" max="3" width="13.57421875" style="1" customWidth="1"/>
    <col min="4" max="4" width="12.140625" style="1" customWidth="1"/>
    <col min="5" max="5" width="10.57421875" style="1" customWidth="1"/>
    <col min="6" max="6" width="9.7109375" style="1" customWidth="1"/>
    <col min="7" max="7" width="16.28125" style="1" customWidth="1"/>
    <col min="8" max="8" width="16.57421875" style="1" hidden="1" customWidth="1"/>
    <col min="9" max="16384" width="9.140625" style="1" customWidth="1"/>
  </cols>
  <sheetData>
    <row r="1" spans="5:6" ht="18" customHeight="1">
      <c r="E1" s="57" t="s">
        <v>0</v>
      </c>
      <c r="F1" s="57"/>
    </row>
    <row r="2" spans="1:6" s="40" customFormat="1" ht="18" customHeight="1">
      <c r="A2" s="58" t="s">
        <v>71</v>
      </c>
      <c r="B2" s="58"/>
      <c r="C2" s="58"/>
      <c r="D2" s="58"/>
      <c r="E2" s="58"/>
      <c r="F2" s="58"/>
    </row>
    <row r="3" spans="1:6" s="41" customFormat="1" ht="18" customHeight="1">
      <c r="A3" s="59" t="s">
        <v>74</v>
      </c>
      <c r="B3" s="59"/>
      <c r="C3" s="59"/>
      <c r="D3" s="59"/>
      <c r="E3" s="59"/>
      <c r="F3" s="59"/>
    </row>
    <row r="4" spans="5:6" ht="18" customHeight="1">
      <c r="E4" s="60" t="s">
        <v>1</v>
      </c>
      <c r="F4" s="60"/>
    </row>
    <row r="5" spans="1:8" s="3" customFormat="1" ht="42" customHeight="1">
      <c r="A5" s="56" t="s">
        <v>2</v>
      </c>
      <c r="B5" s="56" t="s">
        <v>3</v>
      </c>
      <c r="C5" s="56" t="s">
        <v>4</v>
      </c>
      <c r="D5" s="56" t="s">
        <v>63</v>
      </c>
      <c r="E5" s="56" t="s">
        <v>64</v>
      </c>
      <c r="F5" s="56"/>
      <c r="H5" s="56" t="s">
        <v>70</v>
      </c>
    </row>
    <row r="6" spans="1:8" s="3" customFormat="1" ht="53.25" customHeight="1">
      <c r="A6" s="56"/>
      <c r="B6" s="56"/>
      <c r="C6" s="56"/>
      <c r="D6" s="56"/>
      <c r="E6" s="51" t="s">
        <v>6</v>
      </c>
      <c r="F6" s="51" t="s">
        <v>7</v>
      </c>
      <c r="H6" s="56"/>
    </row>
    <row r="7" spans="1:8" s="2" customFormat="1" ht="19.5" customHeight="1">
      <c r="A7" s="4" t="s">
        <v>8</v>
      </c>
      <c r="B7" s="4" t="s">
        <v>9</v>
      </c>
      <c r="C7" s="4">
        <v>1</v>
      </c>
      <c r="D7" s="4">
        <v>2</v>
      </c>
      <c r="E7" s="4" t="s">
        <v>10</v>
      </c>
      <c r="F7" s="4">
        <v>4</v>
      </c>
      <c r="H7" s="4">
        <v>2</v>
      </c>
    </row>
    <row r="8" spans="1:8" s="3" customFormat="1" ht="24" customHeight="1">
      <c r="A8" s="5" t="s">
        <v>8</v>
      </c>
      <c r="B8" s="6" t="s">
        <v>11</v>
      </c>
      <c r="C8" s="20">
        <f>C9+C12</f>
        <v>20100</v>
      </c>
      <c r="D8" s="20">
        <f>D9+D12</f>
        <v>98711</v>
      </c>
      <c r="E8" s="42">
        <f>+D8/C8%</f>
        <v>491.0995024875622</v>
      </c>
      <c r="F8" s="42">
        <f>D8/58559*100</f>
        <v>168.56674465069418</v>
      </c>
      <c r="H8" s="20">
        <f>H9+H12</f>
        <v>228445.71</v>
      </c>
    </row>
    <row r="9" spans="1:8" s="3" customFormat="1" ht="24" customHeight="1">
      <c r="A9" s="9" t="s">
        <v>12</v>
      </c>
      <c r="B9" s="10" t="s">
        <v>13</v>
      </c>
      <c r="C9" s="21">
        <f>+C10+C11</f>
        <v>20100</v>
      </c>
      <c r="D9" s="21">
        <f>+D10+D11</f>
        <v>11360</v>
      </c>
      <c r="E9" s="43">
        <f aca="true" t="shared" si="0" ref="E9:E18">+D9/C9%</f>
        <v>56.517412935323385</v>
      </c>
      <c r="F9" s="43">
        <f>D9/9504*100</f>
        <v>119.52861952861953</v>
      </c>
      <c r="H9" s="21">
        <f>+H10+H11</f>
        <v>16819.71</v>
      </c>
    </row>
    <row r="10" spans="1:8" ht="24" customHeight="1">
      <c r="A10" s="7">
        <v>1</v>
      </c>
      <c r="B10" s="8" t="s">
        <v>14</v>
      </c>
      <c r="C10" s="22">
        <v>20100</v>
      </c>
      <c r="D10" s="22">
        <v>11360</v>
      </c>
      <c r="E10" s="44">
        <f>+D10/C10%</f>
        <v>56.517412935323385</v>
      </c>
      <c r="F10" s="44">
        <f>D10/9504%</f>
        <v>119.52861952861952</v>
      </c>
      <c r="H10" s="22">
        <f>+'B 94'!H9</f>
        <v>16819.71</v>
      </c>
    </row>
    <row r="11" spans="1:8" ht="24" customHeight="1">
      <c r="A11" s="7">
        <v>2</v>
      </c>
      <c r="B11" s="8" t="s">
        <v>15</v>
      </c>
      <c r="C11" s="22">
        <v>0</v>
      </c>
      <c r="D11" s="22"/>
      <c r="E11" s="44"/>
      <c r="F11" s="44"/>
      <c r="H11" s="22">
        <v>0</v>
      </c>
    </row>
    <row r="12" spans="1:8" s="3" customFormat="1" ht="24" customHeight="1">
      <c r="A12" s="9" t="s">
        <v>16</v>
      </c>
      <c r="B12" s="10" t="s">
        <v>17</v>
      </c>
      <c r="C12" s="21"/>
      <c r="D12" s="21">
        <v>87351</v>
      </c>
      <c r="E12" s="44"/>
      <c r="F12" s="43">
        <f>D12/49055%</f>
        <v>178.06747528284578</v>
      </c>
      <c r="H12" s="28">
        <v>211626</v>
      </c>
    </row>
    <row r="13" spans="1:9" s="3" customFormat="1" ht="24" customHeight="1">
      <c r="A13" s="9" t="s">
        <v>9</v>
      </c>
      <c r="B13" s="10" t="s">
        <v>18</v>
      </c>
      <c r="C13" s="21">
        <f>+C14+C18</f>
        <v>562299</v>
      </c>
      <c r="D13" s="21">
        <f>+D14+D18</f>
        <v>280736</v>
      </c>
      <c r="E13" s="43">
        <f t="shared" si="0"/>
        <v>49.92646261152874</v>
      </c>
      <c r="F13" s="43">
        <f>D13/180362%</f>
        <v>155.65141215998938</v>
      </c>
      <c r="H13" s="21">
        <f>+H14+H18</f>
        <v>141784.961</v>
      </c>
      <c r="I13" s="31"/>
    </row>
    <row r="14" spans="1:8" s="3" customFormat="1" ht="24" customHeight="1">
      <c r="A14" s="9" t="s">
        <v>19</v>
      </c>
      <c r="B14" s="10" t="s">
        <v>20</v>
      </c>
      <c r="C14" s="21">
        <f>+C15+C16+C17</f>
        <v>380932</v>
      </c>
      <c r="D14" s="21">
        <f>+D15+D16+D17</f>
        <v>266415</v>
      </c>
      <c r="E14" s="43">
        <f t="shared" si="0"/>
        <v>69.93767916583536</v>
      </c>
      <c r="F14" s="43">
        <f>D14/166766%</f>
        <v>159.7537867431011</v>
      </c>
      <c r="H14" s="21">
        <f>+H15+H16+H17</f>
        <v>134476.39</v>
      </c>
    </row>
    <row r="15" spans="1:8" ht="24" customHeight="1">
      <c r="A15" s="7">
        <v>1</v>
      </c>
      <c r="B15" s="8" t="s">
        <v>21</v>
      </c>
      <c r="C15" s="22">
        <v>30655</v>
      </c>
      <c r="D15" s="22">
        <v>78083</v>
      </c>
      <c r="E15" s="44">
        <f t="shared" si="0"/>
        <v>254.71538085141086</v>
      </c>
      <c r="F15" s="44">
        <f>D15/22606%</f>
        <v>345.4082986817659</v>
      </c>
      <c r="H15" s="22">
        <f>'B 95'!H11</f>
        <v>3454.498</v>
      </c>
    </row>
    <row r="16" spans="1:8" ht="24" customHeight="1">
      <c r="A16" s="7">
        <v>2</v>
      </c>
      <c r="B16" s="8" t="s">
        <v>22</v>
      </c>
      <c r="C16" s="22">
        <v>342808</v>
      </c>
      <c r="D16" s="22">
        <f>133833+52342</f>
        <v>186175</v>
      </c>
      <c r="E16" s="44">
        <f t="shared" si="0"/>
        <v>54.30882593171688</v>
      </c>
      <c r="F16" s="44">
        <f>D16/143790%</f>
        <v>129.4770150914528</v>
      </c>
      <c r="H16" s="22">
        <f>'B 95'!H14</f>
        <v>127168.892</v>
      </c>
    </row>
    <row r="17" spans="1:8" ht="24" customHeight="1">
      <c r="A17" s="7">
        <v>3</v>
      </c>
      <c r="B17" s="8" t="s">
        <v>23</v>
      </c>
      <c r="C17" s="22">
        <v>7469</v>
      </c>
      <c r="D17" s="22">
        <v>2157</v>
      </c>
      <c r="E17" s="44">
        <f t="shared" si="0"/>
        <v>28.879368054625786</v>
      </c>
      <c r="F17" s="44">
        <f>D17/370%</f>
        <v>582.9729729729729</v>
      </c>
      <c r="H17" s="22">
        <f>'B 95'!H26</f>
        <v>3853</v>
      </c>
    </row>
    <row r="18" spans="1:8" s="3" customFormat="1" ht="24" customHeight="1">
      <c r="A18" s="9" t="s">
        <v>16</v>
      </c>
      <c r="B18" s="10" t="s">
        <v>25</v>
      </c>
      <c r="C18" s="21">
        <f>54183+127184</f>
        <v>181367</v>
      </c>
      <c r="D18" s="21">
        <v>14321</v>
      </c>
      <c r="E18" s="43">
        <f t="shared" si="0"/>
        <v>7.896144282035872</v>
      </c>
      <c r="F18" s="43">
        <f>D18/13596%</f>
        <v>105.33245072080022</v>
      </c>
      <c r="H18" s="21">
        <f>'B 95'!H27</f>
        <v>7308.571</v>
      </c>
    </row>
    <row r="19" spans="1:8" ht="24" customHeight="1">
      <c r="A19" s="11"/>
      <c r="B19" s="12"/>
      <c r="C19" s="23"/>
      <c r="D19" s="23"/>
      <c r="E19" s="45"/>
      <c r="F19" s="45"/>
      <c r="H19" s="23"/>
    </row>
  </sheetData>
  <sheetProtection/>
  <mergeCells count="10">
    <mergeCell ref="H5:H6"/>
    <mergeCell ref="E1:F1"/>
    <mergeCell ref="A2:F2"/>
    <mergeCell ref="A3:F3"/>
    <mergeCell ref="E4:F4"/>
    <mergeCell ref="E5:F5"/>
    <mergeCell ref="A5:A6"/>
    <mergeCell ref="B5:B6"/>
    <mergeCell ref="C5:C6"/>
    <mergeCell ref="D5:D6"/>
  </mergeCells>
  <printOptions/>
  <pageMargins left="0.52" right="0.34" top="1" bottom="0.57" header="0.84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28" sqref="F28"/>
    </sheetView>
  </sheetViews>
  <sheetFormatPr defaultColWidth="9.140625" defaultRowHeight="21" customHeight="1"/>
  <cols>
    <col min="1" max="1" width="5.8515625" style="29" customWidth="1"/>
    <col min="2" max="2" width="40.57421875" style="29" customWidth="1"/>
    <col min="3" max="5" width="12.421875" style="29" customWidth="1"/>
    <col min="6" max="6" width="13.57421875" style="29" customWidth="1"/>
    <col min="7" max="7" width="15.57421875" style="29" customWidth="1"/>
    <col min="8" max="8" width="15.57421875" style="29" hidden="1" customWidth="1"/>
    <col min="9" max="9" width="15.57421875" style="29" customWidth="1"/>
    <col min="10" max="16384" width="9.140625" style="29" customWidth="1"/>
  </cols>
  <sheetData>
    <row r="1" spans="5:6" ht="21" customHeight="1">
      <c r="E1" s="62" t="s">
        <v>26</v>
      </c>
      <c r="F1" s="62"/>
    </row>
    <row r="2" spans="1:6" s="40" customFormat="1" ht="18" customHeight="1">
      <c r="A2" s="58" t="s">
        <v>71</v>
      </c>
      <c r="B2" s="58"/>
      <c r="C2" s="58"/>
      <c r="D2" s="58"/>
      <c r="E2" s="58"/>
      <c r="F2" s="58"/>
    </row>
    <row r="3" spans="1:6" s="41" customFormat="1" ht="18" customHeight="1">
      <c r="A3" s="61" t="s">
        <v>75</v>
      </c>
      <c r="B3" s="61"/>
      <c r="C3" s="61"/>
      <c r="D3" s="61"/>
      <c r="E3" s="61"/>
      <c r="F3" s="61"/>
    </row>
    <row r="4" spans="5:6" ht="18" customHeight="1">
      <c r="E4" s="63" t="s">
        <v>1</v>
      </c>
      <c r="F4" s="63"/>
    </row>
    <row r="5" spans="1:8" ht="36.75" customHeight="1">
      <c r="A5" s="56" t="s">
        <v>2</v>
      </c>
      <c r="B5" s="56" t="s">
        <v>3</v>
      </c>
      <c r="C5" s="56" t="s">
        <v>6</v>
      </c>
      <c r="D5" s="56" t="s">
        <v>65</v>
      </c>
      <c r="E5" s="56" t="s">
        <v>5</v>
      </c>
      <c r="F5" s="56"/>
      <c r="H5" s="56" t="s">
        <v>67</v>
      </c>
    </row>
    <row r="6" spans="1:8" ht="42" customHeight="1">
      <c r="A6" s="56"/>
      <c r="B6" s="56"/>
      <c r="C6" s="56"/>
      <c r="D6" s="56"/>
      <c r="E6" s="51" t="s">
        <v>6</v>
      </c>
      <c r="F6" s="51" t="s">
        <v>7</v>
      </c>
      <c r="H6" s="56"/>
    </row>
    <row r="7" spans="1:8" s="34" customFormat="1" ht="21" customHeight="1">
      <c r="A7" s="4" t="s">
        <v>8</v>
      </c>
      <c r="B7" s="4" t="s">
        <v>9</v>
      </c>
      <c r="C7" s="4">
        <v>1</v>
      </c>
      <c r="D7" s="4">
        <v>2</v>
      </c>
      <c r="E7" s="4" t="s">
        <v>10</v>
      </c>
      <c r="F7" s="4">
        <v>4</v>
      </c>
      <c r="H7" s="4">
        <v>2</v>
      </c>
    </row>
    <row r="8" spans="1:8" ht="21" customHeight="1">
      <c r="A8" s="13" t="s">
        <v>8</v>
      </c>
      <c r="B8" s="14" t="s">
        <v>27</v>
      </c>
      <c r="C8" s="24">
        <f>+C9+C26</f>
        <v>20100</v>
      </c>
      <c r="D8" s="24">
        <f>+D9+D26</f>
        <v>11359.1</v>
      </c>
      <c r="E8" s="46">
        <f>+D8/C8%</f>
        <v>56.51293532338309</v>
      </c>
      <c r="F8" s="46">
        <f>D8/9503%</f>
        <v>119.5317268231085</v>
      </c>
      <c r="H8" s="24">
        <f>+H9+H26</f>
        <v>16819.71</v>
      </c>
    </row>
    <row r="9" spans="1:8" ht="21" customHeight="1">
      <c r="A9" s="15" t="s">
        <v>12</v>
      </c>
      <c r="B9" s="16" t="s">
        <v>14</v>
      </c>
      <c r="C9" s="25">
        <f>+C10+C11+C12+C13+C14+C15+C16+C17+C23+C24+C25</f>
        <v>20100</v>
      </c>
      <c r="D9" s="25">
        <f>+D10+D11+D12+D13+D14+D15+D16+D17+D23+D24+D25</f>
        <v>11359.1</v>
      </c>
      <c r="E9" s="47">
        <f aca="true" t="shared" si="0" ref="E9:E28">+D9/C9%</f>
        <v>56.51293532338309</v>
      </c>
      <c r="F9" s="47">
        <f>D9/9503%</f>
        <v>119.5317268231085</v>
      </c>
      <c r="G9" s="35"/>
      <c r="H9" s="25">
        <f>+H10+H11+H12+H13+H14+H15+H16+H17+H23+H24+H25</f>
        <v>16819.71</v>
      </c>
    </row>
    <row r="10" spans="1:8" ht="21" customHeight="1">
      <c r="A10" s="17">
        <v>1</v>
      </c>
      <c r="B10" s="18" t="s">
        <v>72</v>
      </c>
      <c r="C10" s="26">
        <v>550</v>
      </c>
      <c r="D10" s="26">
        <v>279</v>
      </c>
      <c r="E10" s="48">
        <f t="shared" si="0"/>
        <v>50.72727272727273</v>
      </c>
      <c r="F10" s="48">
        <f>D10/413%</f>
        <v>67.5544794188862</v>
      </c>
      <c r="H10" s="26">
        <f>130.979+25.491</f>
        <v>156.47000000000003</v>
      </c>
    </row>
    <row r="11" spans="1:8" ht="34.5" customHeight="1">
      <c r="A11" s="17">
        <v>2</v>
      </c>
      <c r="B11" s="18" t="s">
        <v>73</v>
      </c>
      <c r="C11" s="26">
        <v>130</v>
      </c>
      <c r="D11" s="26">
        <v>199</v>
      </c>
      <c r="E11" s="48">
        <f t="shared" si="0"/>
        <v>153.07692307692307</v>
      </c>
      <c r="F11" s="48">
        <f>D11/70*100</f>
        <v>284.2857142857143</v>
      </c>
      <c r="H11" s="26">
        <v>0</v>
      </c>
    </row>
    <row r="12" spans="1:8" ht="21" customHeight="1">
      <c r="A12" s="17">
        <v>3</v>
      </c>
      <c r="B12" s="18" t="s">
        <v>28</v>
      </c>
      <c r="C12" s="26">
        <v>11660</v>
      </c>
      <c r="D12" s="26">
        <v>6342</v>
      </c>
      <c r="E12" s="48">
        <f t="shared" si="0"/>
        <v>54.39108061749572</v>
      </c>
      <c r="F12" s="48">
        <f>D12/4217%</f>
        <v>150.39127341712117</v>
      </c>
      <c r="H12" s="26">
        <v>4373.455</v>
      </c>
    </row>
    <row r="13" spans="1:8" ht="21" customHeight="1">
      <c r="A13" s="17">
        <v>4</v>
      </c>
      <c r="B13" s="18" t="s">
        <v>29</v>
      </c>
      <c r="C13" s="26">
        <v>780</v>
      </c>
      <c r="D13" s="26">
        <v>570</v>
      </c>
      <c r="E13" s="48">
        <f t="shared" si="0"/>
        <v>73.07692307692308</v>
      </c>
      <c r="F13" s="48">
        <f>D13/412%</f>
        <v>138.3495145631068</v>
      </c>
      <c r="H13" s="26">
        <v>780</v>
      </c>
    </row>
    <row r="14" spans="1:8" ht="21" customHeight="1">
      <c r="A14" s="17">
        <v>5</v>
      </c>
      <c r="B14" s="18" t="s">
        <v>30</v>
      </c>
      <c r="C14" s="26">
        <v>0</v>
      </c>
      <c r="D14" s="26"/>
      <c r="E14" s="48"/>
      <c r="F14" s="48"/>
      <c r="H14" s="26">
        <v>0</v>
      </c>
    </row>
    <row r="15" spans="1:8" ht="21" customHeight="1">
      <c r="A15" s="17">
        <v>6</v>
      </c>
      <c r="B15" s="18" t="s">
        <v>31</v>
      </c>
      <c r="C15" s="26">
        <v>3000</v>
      </c>
      <c r="D15" s="26">
        <v>1620</v>
      </c>
      <c r="E15" s="48">
        <f t="shared" si="0"/>
        <v>54</v>
      </c>
      <c r="F15" s="48">
        <f>D15/1350%</f>
        <v>120</v>
      </c>
      <c r="H15" s="26">
        <v>3190.912</v>
      </c>
    </row>
    <row r="16" spans="1:8" ht="21" customHeight="1">
      <c r="A16" s="17">
        <v>7</v>
      </c>
      <c r="B16" s="18" t="s">
        <v>32</v>
      </c>
      <c r="C16" s="26">
        <v>1065</v>
      </c>
      <c r="D16" s="26">
        <v>673</v>
      </c>
      <c r="E16" s="48">
        <f t="shared" si="0"/>
        <v>63.19248826291079</v>
      </c>
      <c r="F16" s="48">
        <f>D16/500%</f>
        <v>134.6</v>
      </c>
      <c r="H16" s="26">
        <v>2643</v>
      </c>
    </row>
    <row r="17" spans="1:8" ht="21" customHeight="1">
      <c r="A17" s="17">
        <v>8</v>
      </c>
      <c r="B17" s="18" t="s">
        <v>33</v>
      </c>
      <c r="C17" s="26">
        <f>SUM(C18:C22)</f>
        <v>1260</v>
      </c>
      <c r="D17" s="26">
        <f>SUM(D18:D22)</f>
        <v>861.1</v>
      </c>
      <c r="E17" s="48">
        <f t="shared" si="0"/>
        <v>68.34126984126985</v>
      </c>
      <c r="F17" s="48">
        <f>D17/348%</f>
        <v>247.44252873563218</v>
      </c>
      <c r="H17" s="26">
        <f>SUM(H18:H22)</f>
        <v>3313.873</v>
      </c>
    </row>
    <row r="18" spans="1:8" s="36" customFormat="1" ht="21" customHeight="1">
      <c r="A18" s="32" t="s">
        <v>34</v>
      </c>
      <c r="B18" s="19" t="s">
        <v>35</v>
      </c>
      <c r="C18" s="33"/>
      <c r="D18" s="33"/>
      <c r="E18" s="49"/>
      <c r="F18" s="49"/>
      <c r="H18" s="33"/>
    </row>
    <row r="19" spans="1:8" s="36" customFormat="1" ht="21" customHeight="1">
      <c r="A19" s="32" t="s">
        <v>34</v>
      </c>
      <c r="B19" s="19" t="s">
        <v>36</v>
      </c>
      <c r="C19" s="33">
        <v>10</v>
      </c>
      <c r="D19" s="33">
        <v>0.1</v>
      </c>
      <c r="E19" s="49">
        <f t="shared" si="0"/>
        <v>1</v>
      </c>
      <c r="F19" s="49">
        <f>D19/3%</f>
        <v>3.3333333333333335</v>
      </c>
      <c r="H19" s="33">
        <v>0.216</v>
      </c>
    </row>
    <row r="20" spans="1:8" s="36" customFormat="1" ht="21" customHeight="1">
      <c r="A20" s="32" t="s">
        <v>34</v>
      </c>
      <c r="B20" s="19" t="s">
        <v>37</v>
      </c>
      <c r="C20" s="33">
        <v>1100</v>
      </c>
      <c r="D20" s="33">
        <v>837</v>
      </c>
      <c r="E20" s="49">
        <f t="shared" si="0"/>
        <v>76.0909090909091</v>
      </c>
      <c r="F20" s="49">
        <f>D20/669%</f>
        <v>125.11210762331838</v>
      </c>
      <c r="H20" s="33">
        <v>2409.657</v>
      </c>
    </row>
    <row r="21" spans="1:8" s="36" customFormat="1" ht="21" customHeight="1">
      <c r="A21" s="32" t="s">
        <v>34</v>
      </c>
      <c r="B21" s="19" t="s">
        <v>38</v>
      </c>
      <c r="C21" s="33">
        <v>150</v>
      </c>
      <c r="D21" s="33">
        <v>24</v>
      </c>
      <c r="E21" s="49">
        <f t="shared" si="0"/>
        <v>16</v>
      </c>
      <c r="F21" s="49">
        <f>D21/40%</f>
        <v>60</v>
      </c>
      <c r="H21" s="33">
        <v>664</v>
      </c>
    </row>
    <row r="22" spans="1:8" s="36" customFormat="1" ht="35.25" customHeight="1">
      <c r="A22" s="32" t="s">
        <v>34</v>
      </c>
      <c r="B22" s="19" t="s">
        <v>39</v>
      </c>
      <c r="C22" s="33"/>
      <c r="D22" s="33">
        <v>0</v>
      </c>
      <c r="E22" s="49"/>
      <c r="F22" s="49"/>
      <c r="H22" s="33">
        <v>240</v>
      </c>
    </row>
    <row r="23" spans="1:8" ht="21" customHeight="1">
      <c r="A23" s="17">
        <v>9</v>
      </c>
      <c r="B23" s="18" t="s">
        <v>66</v>
      </c>
      <c r="C23" s="26">
        <v>255</v>
      </c>
      <c r="D23" s="26">
        <v>13</v>
      </c>
      <c r="E23" s="49">
        <f t="shared" si="0"/>
        <v>5.098039215686275</v>
      </c>
      <c r="F23" s="49">
        <f>D23/265%</f>
        <v>4.90566037735849</v>
      </c>
      <c r="H23" s="26">
        <v>0</v>
      </c>
    </row>
    <row r="24" spans="1:8" ht="21" customHeight="1">
      <c r="A24" s="17">
        <v>10</v>
      </c>
      <c r="B24" s="18" t="s">
        <v>40</v>
      </c>
      <c r="C24" s="26">
        <v>1400</v>
      </c>
      <c r="D24" s="26">
        <v>802</v>
      </c>
      <c r="E24" s="48">
        <f t="shared" si="0"/>
        <v>57.285714285714285</v>
      </c>
      <c r="F24" s="48">
        <f>D24/1564%</f>
        <v>51.27877237851662</v>
      </c>
      <c r="H24" s="26">
        <v>2362</v>
      </c>
    </row>
    <row r="25" spans="1:8" ht="35.25" customHeight="1">
      <c r="A25" s="17">
        <v>11</v>
      </c>
      <c r="B25" s="18" t="s">
        <v>41</v>
      </c>
      <c r="C25" s="26">
        <v>0</v>
      </c>
      <c r="D25" s="26"/>
      <c r="E25" s="48"/>
      <c r="F25" s="48"/>
      <c r="H25" s="26"/>
    </row>
    <row r="26" spans="1:8" ht="21" customHeight="1">
      <c r="A26" s="15" t="s">
        <v>16</v>
      </c>
      <c r="B26" s="16" t="s">
        <v>15</v>
      </c>
      <c r="C26" s="26"/>
      <c r="D26" s="26"/>
      <c r="E26" s="47"/>
      <c r="F26" s="48"/>
      <c r="H26" s="26"/>
    </row>
    <row r="27" spans="1:8" s="37" customFormat="1" ht="35.25" customHeight="1">
      <c r="A27" s="15" t="s">
        <v>9</v>
      </c>
      <c r="B27" s="16" t="s">
        <v>42</v>
      </c>
      <c r="C27" s="25">
        <f>C28+C29</f>
        <v>17275</v>
      </c>
      <c r="D27" s="25">
        <f>D28+D29</f>
        <v>9317</v>
      </c>
      <c r="E27" s="47">
        <f t="shared" si="0"/>
        <v>53.93342981186686</v>
      </c>
      <c r="F27" s="47">
        <f>D27/6733%</f>
        <v>138.37813753156098</v>
      </c>
      <c r="H27" s="25">
        <f>H28+H29</f>
        <v>11096.914</v>
      </c>
    </row>
    <row r="28" spans="1:8" ht="29.25" customHeight="1">
      <c r="A28" s="17">
        <v>1</v>
      </c>
      <c r="B28" s="18" t="s">
        <v>43</v>
      </c>
      <c r="C28" s="26">
        <v>17275</v>
      </c>
      <c r="D28" s="26">
        <v>9317</v>
      </c>
      <c r="E28" s="48">
        <f t="shared" si="0"/>
        <v>53.93342981186686</v>
      </c>
      <c r="F28" s="48">
        <f>D28/6733%</f>
        <v>138.37813753156098</v>
      </c>
      <c r="H28" s="26">
        <v>578</v>
      </c>
    </row>
    <row r="29" spans="1:8" ht="36.75" customHeight="1">
      <c r="A29" s="17">
        <v>2</v>
      </c>
      <c r="B29" s="18" t="s">
        <v>44</v>
      </c>
      <c r="C29" s="26"/>
      <c r="D29" s="26"/>
      <c r="E29" s="48"/>
      <c r="F29" s="48"/>
      <c r="H29" s="26">
        <v>10518.914</v>
      </c>
    </row>
    <row r="30" spans="1:8" ht="21" customHeight="1">
      <c r="A30" s="38"/>
      <c r="B30" s="38"/>
      <c r="C30" s="30"/>
      <c r="D30" s="30"/>
      <c r="E30" s="50"/>
      <c r="F30" s="50"/>
      <c r="H30" s="30"/>
    </row>
  </sheetData>
  <sheetProtection/>
  <mergeCells count="10">
    <mergeCell ref="A3:F3"/>
    <mergeCell ref="H5:H6"/>
    <mergeCell ref="E1:F1"/>
    <mergeCell ref="A2:F2"/>
    <mergeCell ref="A5:A6"/>
    <mergeCell ref="B5:B6"/>
    <mergeCell ref="C5:C6"/>
    <mergeCell ref="D5:D6"/>
    <mergeCell ref="E5:F5"/>
    <mergeCell ref="E4:F4"/>
  </mergeCells>
  <printOptions/>
  <pageMargins left="0.66" right="0.42" top="0.68" bottom="0.59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25">
      <selection activeCell="B14" sqref="B14"/>
    </sheetView>
  </sheetViews>
  <sheetFormatPr defaultColWidth="9.140625" defaultRowHeight="21.75" customHeight="1"/>
  <cols>
    <col min="1" max="1" width="5.57421875" style="1" customWidth="1"/>
    <col min="2" max="2" width="51.57421875" style="1" customWidth="1"/>
    <col min="3" max="3" width="12.28125" style="1" customWidth="1"/>
    <col min="4" max="4" width="12.421875" style="1" customWidth="1"/>
    <col min="5" max="5" width="12.28125" style="1" customWidth="1"/>
    <col min="6" max="6" width="11.7109375" style="1" customWidth="1"/>
    <col min="7" max="7" width="13.8515625" style="1" customWidth="1"/>
    <col min="8" max="8" width="14.57421875" style="1" hidden="1" customWidth="1"/>
    <col min="9" max="9" width="14.57421875" style="1" customWidth="1"/>
    <col min="10" max="10" width="18.28125" style="1" customWidth="1"/>
    <col min="11" max="16384" width="9.140625" style="1" customWidth="1"/>
  </cols>
  <sheetData>
    <row r="1" spans="5:6" ht="21.75" customHeight="1">
      <c r="E1" s="67" t="s">
        <v>45</v>
      </c>
      <c r="F1" s="67"/>
    </row>
    <row r="2" spans="1:6" s="41" customFormat="1" ht="18.75" customHeight="1">
      <c r="A2" s="58" t="s">
        <v>71</v>
      </c>
      <c r="B2" s="58"/>
      <c r="C2" s="58"/>
      <c r="D2" s="58"/>
      <c r="E2" s="58"/>
      <c r="F2" s="58"/>
    </row>
    <row r="3" spans="1:6" s="41" customFormat="1" ht="21.75" customHeight="1">
      <c r="A3" s="61" t="s">
        <v>76</v>
      </c>
      <c r="B3" s="61"/>
      <c r="C3" s="61"/>
      <c r="D3" s="61"/>
      <c r="E3" s="61"/>
      <c r="F3" s="61"/>
    </row>
    <row r="4" spans="5:6" ht="21.75" customHeight="1">
      <c r="E4" s="68" t="s">
        <v>1</v>
      </c>
      <c r="F4" s="68"/>
    </row>
    <row r="5" spans="1:8" ht="40.5" customHeight="1">
      <c r="A5" s="56" t="s">
        <v>2</v>
      </c>
      <c r="B5" s="56" t="s">
        <v>3</v>
      </c>
      <c r="C5" s="56" t="s">
        <v>6</v>
      </c>
      <c r="D5" s="56" t="s">
        <v>63</v>
      </c>
      <c r="E5" s="56" t="s">
        <v>5</v>
      </c>
      <c r="F5" s="56"/>
      <c r="H5" s="66" t="s">
        <v>68</v>
      </c>
    </row>
    <row r="6" spans="1:8" ht="21.75" customHeight="1">
      <c r="A6" s="56"/>
      <c r="B6" s="56"/>
      <c r="C6" s="56"/>
      <c r="D6" s="56"/>
      <c r="E6" s="56" t="s">
        <v>6</v>
      </c>
      <c r="F6" s="64" t="s">
        <v>7</v>
      </c>
      <c r="H6" s="56"/>
    </row>
    <row r="7" spans="1:8" ht="21.75" customHeight="1">
      <c r="A7" s="56"/>
      <c r="B7" s="56"/>
      <c r="C7" s="56"/>
      <c r="D7" s="56"/>
      <c r="E7" s="56"/>
      <c r="F7" s="65"/>
      <c r="H7" s="56"/>
    </row>
    <row r="8" spans="1:8" s="2" customFormat="1" ht="17.25" customHeight="1">
      <c r="A8" s="4" t="s">
        <v>8</v>
      </c>
      <c r="B8" s="4" t="s">
        <v>9</v>
      </c>
      <c r="C8" s="4">
        <v>1</v>
      </c>
      <c r="D8" s="4">
        <v>2</v>
      </c>
      <c r="E8" s="4" t="s">
        <v>10</v>
      </c>
      <c r="F8" s="4">
        <v>4</v>
      </c>
      <c r="H8" s="4"/>
    </row>
    <row r="9" spans="1:9" ht="21.75" customHeight="1">
      <c r="A9" s="5"/>
      <c r="B9" s="6" t="s">
        <v>18</v>
      </c>
      <c r="C9" s="20">
        <f>+C10+C27</f>
        <v>592299</v>
      </c>
      <c r="D9" s="20">
        <f>+D10+D27</f>
        <v>281667</v>
      </c>
      <c r="E9" s="52">
        <f>+D9/C9%</f>
        <v>47.55486671427776</v>
      </c>
      <c r="F9" s="52">
        <f>D9/187373%</f>
        <v>150.32421960474562</v>
      </c>
      <c r="H9" s="20">
        <f>+H10+H27</f>
        <v>141784.961</v>
      </c>
      <c r="I9" s="39"/>
    </row>
    <row r="10" spans="1:8" s="3" customFormat="1" ht="21.75" customHeight="1">
      <c r="A10" s="9" t="s">
        <v>8</v>
      </c>
      <c r="B10" s="10" t="s">
        <v>46</v>
      </c>
      <c r="C10" s="21">
        <f>+C11+C14+C26</f>
        <v>410932</v>
      </c>
      <c r="D10" s="21">
        <f>+D11+D14+D26</f>
        <v>191908</v>
      </c>
      <c r="E10" s="53">
        <f aca="true" t="shared" si="0" ref="E10:E25">+D10/C10%</f>
        <v>46.70067067057324</v>
      </c>
      <c r="F10" s="53">
        <f>D10/173777%</f>
        <v>110.43348659488885</v>
      </c>
      <c r="H10" s="21">
        <f>+H11+H14+H26</f>
        <v>134476.39</v>
      </c>
    </row>
    <row r="11" spans="1:8" ht="21.75" customHeight="1">
      <c r="A11" s="9" t="s">
        <v>12</v>
      </c>
      <c r="B11" s="10" t="s">
        <v>21</v>
      </c>
      <c r="C11" s="21">
        <f>+C12+C13</f>
        <v>60655</v>
      </c>
      <c r="D11" s="21">
        <f>+D12+D13</f>
        <v>5357</v>
      </c>
      <c r="E11" s="53">
        <f t="shared" si="0"/>
        <v>8.83191822603248</v>
      </c>
      <c r="F11" s="53">
        <f>D11/22606%</f>
        <v>23.697248518092543</v>
      </c>
      <c r="H11" s="21">
        <f>+H12+H13</f>
        <v>3454.498</v>
      </c>
    </row>
    <row r="12" spans="1:8" ht="21.75" customHeight="1">
      <c r="A12" s="7">
        <v>1</v>
      </c>
      <c r="B12" s="8" t="s">
        <v>47</v>
      </c>
      <c r="C12" s="22">
        <v>60655</v>
      </c>
      <c r="D12" s="22">
        <f>78083-72726</f>
        <v>5357</v>
      </c>
      <c r="E12" s="54">
        <f t="shared" si="0"/>
        <v>8.83191822603248</v>
      </c>
      <c r="F12" s="54">
        <f>D12/22606%</f>
        <v>23.697248518092543</v>
      </c>
      <c r="H12" s="22">
        <v>3454.498</v>
      </c>
    </row>
    <row r="13" spans="1:8" ht="21.75" customHeight="1">
      <c r="A13" s="7">
        <v>2</v>
      </c>
      <c r="B13" s="8" t="s">
        <v>48</v>
      </c>
      <c r="C13" s="22">
        <v>0</v>
      </c>
      <c r="D13" s="22"/>
      <c r="E13" s="54"/>
      <c r="F13" s="54"/>
      <c r="H13" s="22"/>
    </row>
    <row r="14" spans="1:8" ht="21.75" customHeight="1">
      <c r="A14" s="9" t="s">
        <v>16</v>
      </c>
      <c r="B14" s="10" t="s">
        <v>22</v>
      </c>
      <c r="C14" s="21">
        <v>342808</v>
      </c>
      <c r="D14" s="21">
        <f>SUM(D16:D25)</f>
        <v>184394</v>
      </c>
      <c r="E14" s="53">
        <f t="shared" si="0"/>
        <v>53.78929313201559</v>
      </c>
      <c r="F14" s="53">
        <f>D14/150801%</f>
        <v>122.27637747760294</v>
      </c>
      <c r="G14" s="3"/>
      <c r="H14" s="21">
        <f>131021.892-H26-H30</f>
        <v>127168.892</v>
      </c>
    </row>
    <row r="15" spans="1:8" ht="21.75" customHeight="1">
      <c r="A15" s="7"/>
      <c r="B15" s="27" t="s">
        <v>49</v>
      </c>
      <c r="C15" s="22"/>
      <c r="D15" s="22"/>
      <c r="E15" s="53"/>
      <c r="F15" s="53"/>
      <c r="H15" s="22"/>
    </row>
    <row r="16" spans="1:8" ht="21.75" customHeight="1">
      <c r="A16" s="7">
        <v>1</v>
      </c>
      <c r="B16" s="8" t="s">
        <v>50</v>
      </c>
      <c r="C16" s="22">
        <f>179260-10266</f>
        <v>168994</v>
      </c>
      <c r="D16" s="22">
        <f>77143+64</f>
        <v>77207</v>
      </c>
      <c r="E16" s="54">
        <f t="shared" si="0"/>
        <v>45.6862373812088</v>
      </c>
      <c r="F16" s="54">
        <f>D16/79612%</f>
        <v>96.97909862834749</v>
      </c>
      <c r="H16" s="22">
        <v>64908</v>
      </c>
    </row>
    <row r="17" spans="1:8" ht="21.75" customHeight="1">
      <c r="A17" s="7">
        <v>2</v>
      </c>
      <c r="B17" s="8" t="s">
        <v>51</v>
      </c>
      <c r="C17" s="22">
        <v>0</v>
      </c>
      <c r="D17" s="22">
        <v>0</v>
      </c>
      <c r="E17" s="54"/>
      <c r="F17" s="54"/>
      <c r="H17" s="22">
        <v>0</v>
      </c>
    </row>
    <row r="18" spans="1:8" ht="21.75" customHeight="1">
      <c r="A18" s="7">
        <v>3</v>
      </c>
      <c r="B18" s="8" t="s">
        <v>52</v>
      </c>
      <c r="C18" s="22">
        <f>30433-15152</f>
        <v>15281</v>
      </c>
      <c r="D18" s="22">
        <v>14321</v>
      </c>
      <c r="E18" s="54">
        <f t="shared" si="0"/>
        <v>93.71768863294287</v>
      </c>
      <c r="F18" s="54">
        <f>D18/13596%</f>
        <v>105.33245072080022</v>
      </c>
      <c r="H18" s="22">
        <v>12805.499</v>
      </c>
    </row>
    <row r="19" spans="1:8" ht="21.75" customHeight="1">
      <c r="A19" s="7">
        <v>4</v>
      </c>
      <c r="B19" s="8" t="s">
        <v>53</v>
      </c>
      <c r="C19" s="22">
        <f>3623+1344</f>
        <v>4967</v>
      </c>
      <c r="D19" s="22">
        <v>1193</v>
      </c>
      <c r="E19" s="54">
        <f t="shared" si="0"/>
        <v>24.01852224682907</v>
      </c>
      <c r="F19" s="54">
        <f>D19/784%</f>
        <v>152.16836734693877</v>
      </c>
      <c r="H19" s="22">
        <v>614</v>
      </c>
    </row>
    <row r="20" spans="1:8" ht="21.75" customHeight="1">
      <c r="A20" s="7">
        <v>5</v>
      </c>
      <c r="B20" s="8" t="s">
        <v>54</v>
      </c>
      <c r="C20" s="22"/>
      <c r="D20" s="22"/>
      <c r="E20" s="54"/>
      <c r="F20" s="54"/>
      <c r="H20" s="22">
        <v>547</v>
      </c>
    </row>
    <row r="21" spans="1:8" ht="21.75" customHeight="1">
      <c r="A21" s="7">
        <v>6</v>
      </c>
      <c r="B21" s="8" t="s">
        <v>55</v>
      </c>
      <c r="C21" s="22">
        <v>340</v>
      </c>
      <c r="D21" s="22">
        <v>11</v>
      </c>
      <c r="E21" s="54">
        <f t="shared" si="0"/>
        <v>3.235294117647059</v>
      </c>
      <c r="F21" s="54">
        <f>D21/104%</f>
        <v>10.576923076923077</v>
      </c>
      <c r="H21" s="22">
        <v>71</v>
      </c>
    </row>
    <row r="22" spans="1:8" ht="21.75" customHeight="1">
      <c r="A22" s="7">
        <v>7</v>
      </c>
      <c r="B22" s="8" t="s">
        <v>56</v>
      </c>
      <c r="C22" s="22">
        <v>600</v>
      </c>
      <c r="D22" s="22">
        <v>3</v>
      </c>
      <c r="E22" s="54">
        <f t="shared" si="0"/>
        <v>0.5</v>
      </c>
      <c r="F22" s="54">
        <f>D22/1%</f>
        <v>300</v>
      </c>
      <c r="H22" s="22">
        <v>340</v>
      </c>
    </row>
    <row r="23" spans="1:8" ht="21.75" customHeight="1">
      <c r="A23" s="7">
        <v>8</v>
      </c>
      <c r="B23" s="8" t="s">
        <v>57</v>
      </c>
      <c r="C23" s="22">
        <f>24270-14000</f>
        <v>10270</v>
      </c>
      <c r="D23" s="22">
        <f>15620+19</f>
        <v>15639</v>
      </c>
      <c r="E23" s="54">
        <f t="shared" si="0"/>
        <v>152.27848101265823</v>
      </c>
      <c r="F23" s="54">
        <f>D23/3924%</f>
        <v>398.5474006116208</v>
      </c>
      <c r="H23" s="22">
        <f>16458-3853</f>
        <v>12605</v>
      </c>
    </row>
    <row r="24" spans="1:8" ht="40.5" customHeight="1">
      <c r="A24" s="7">
        <v>9</v>
      </c>
      <c r="B24" s="8" t="s">
        <v>58</v>
      </c>
      <c r="C24" s="22">
        <f>108114+3063</f>
        <v>111177</v>
      </c>
      <c r="D24" s="22">
        <v>52466</v>
      </c>
      <c r="E24" s="54">
        <f t="shared" si="0"/>
        <v>47.19141549061407</v>
      </c>
      <c r="F24" s="54">
        <f>D24/48348%</f>
        <v>108.51741540498055</v>
      </c>
      <c r="H24" s="22">
        <v>26457</v>
      </c>
    </row>
    <row r="25" spans="1:8" ht="21.75" customHeight="1">
      <c r="A25" s="7">
        <v>10</v>
      </c>
      <c r="B25" s="8" t="s">
        <v>59</v>
      </c>
      <c r="C25" s="22">
        <f>10248-3818</f>
        <v>6430</v>
      </c>
      <c r="D25" s="22">
        <v>23554</v>
      </c>
      <c r="E25" s="54">
        <f t="shared" si="0"/>
        <v>366.31415241057545</v>
      </c>
      <c r="F25" s="54">
        <f>D25/3914%</f>
        <v>601.7884517118038</v>
      </c>
      <c r="H25" s="22">
        <v>6175</v>
      </c>
    </row>
    <row r="26" spans="1:8" ht="21.75" customHeight="1">
      <c r="A26" s="9" t="s">
        <v>24</v>
      </c>
      <c r="B26" s="10" t="s">
        <v>23</v>
      </c>
      <c r="C26" s="21">
        <v>7469</v>
      </c>
      <c r="D26" s="21">
        <v>2157</v>
      </c>
      <c r="E26" s="53">
        <f>+D26/C26%</f>
        <v>28.879368054625786</v>
      </c>
      <c r="F26" s="53">
        <f>D26/370%</f>
        <v>582.9729729729729</v>
      </c>
      <c r="H26" s="21">
        <v>3853</v>
      </c>
    </row>
    <row r="27" spans="1:8" s="3" customFormat="1" ht="37.5" customHeight="1">
      <c r="A27" s="9" t="s">
        <v>9</v>
      </c>
      <c r="B27" s="10" t="s">
        <v>60</v>
      </c>
      <c r="C27" s="21">
        <f>+C28+C29+C30</f>
        <v>181367</v>
      </c>
      <c r="D27" s="21">
        <f>+D28+D29+D30</f>
        <v>89759</v>
      </c>
      <c r="E27" s="53">
        <f>+D27/C27%</f>
        <v>49.49026008038948</v>
      </c>
      <c r="F27" s="53">
        <f>D27/13596%</f>
        <v>660.1868196528391</v>
      </c>
      <c r="H27" s="21">
        <f>+H28+H29+H30</f>
        <v>7308.571</v>
      </c>
    </row>
    <row r="28" spans="1:8" ht="21.75" customHeight="1">
      <c r="A28" s="7">
        <v>1</v>
      </c>
      <c r="B28" s="8" t="s">
        <v>61</v>
      </c>
      <c r="C28" s="22">
        <v>127184</v>
      </c>
      <c r="D28" s="22">
        <v>75438</v>
      </c>
      <c r="E28" s="54">
        <f>+D28/C28%</f>
        <v>59.31406466222167</v>
      </c>
      <c r="F28" s="54"/>
      <c r="H28" s="22">
        <v>7308.571</v>
      </c>
    </row>
    <row r="29" spans="1:8" ht="25.5" customHeight="1">
      <c r="A29" s="7">
        <v>2</v>
      </c>
      <c r="B29" s="8" t="s">
        <v>69</v>
      </c>
      <c r="C29" s="22"/>
      <c r="D29" s="22">
        <v>0</v>
      </c>
      <c r="E29" s="54"/>
      <c r="F29" s="54"/>
      <c r="H29" s="22">
        <v>0</v>
      </c>
    </row>
    <row r="30" spans="1:8" ht="30.75" customHeight="1">
      <c r="A30" s="7">
        <v>3</v>
      </c>
      <c r="B30" s="8" t="s">
        <v>62</v>
      </c>
      <c r="C30" s="22">
        <v>54183</v>
      </c>
      <c r="D30" s="22">
        <v>14321</v>
      </c>
      <c r="E30" s="54">
        <f>+D30/C30%</f>
        <v>26.43079932820257</v>
      </c>
      <c r="F30" s="54">
        <f>D30/13596%</f>
        <v>105.33245072080022</v>
      </c>
      <c r="H30" s="22">
        <v>0</v>
      </c>
    </row>
    <row r="31" spans="1:8" ht="21.75" customHeight="1">
      <c r="A31" s="12"/>
      <c r="B31" s="12"/>
      <c r="C31" s="12"/>
      <c r="D31" s="12"/>
      <c r="E31" s="55"/>
      <c r="F31" s="55"/>
      <c r="H31" s="12"/>
    </row>
  </sheetData>
  <sheetProtection/>
  <mergeCells count="12">
    <mergeCell ref="H5:H7"/>
    <mergeCell ref="E1:F1"/>
    <mergeCell ref="A2:F2"/>
    <mergeCell ref="A3:F3"/>
    <mergeCell ref="E4:F4"/>
    <mergeCell ref="E5:F5"/>
    <mergeCell ref="E6:E7"/>
    <mergeCell ref="A5:A7"/>
    <mergeCell ref="B5:B7"/>
    <mergeCell ref="C5:C7"/>
    <mergeCell ref="D5:D7"/>
    <mergeCell ref="F6:F7"/>
  </mergeCells>
  <printOptions/>
  <pageMargins left="0.51" right="0.42" top="0.57" bottom="0.68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ismail - [2010]</cp:lastModifiedBy>
  <cp:lastPrinted>2021-11-09T09:45:48Z</cp:lastPrinted>
  <dcterms:created xsi:type="dcterms:W3CDTF">1996-10-14T23:33:28Z</dcterms:created>
  <dcterms:modified xsi:type="dcterms:W3CDTF">2021-11-21T03:52:46Z</dcterms:modified>
  <cp:category/>
  <cp:version/>
  <cp:contentType/>
  <cp:contentStatus/>
</cp:coreProperties>
</file>