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2" windowHeight="9240" activeTab="0"/>
  </bookViews>
  <sheets>
    <sheet name="B 93" sheetId="1" r:id="rId1"/>
    <sheet name="B 94" sheetId="2" r:id="rId2"/>
    <sheet name="B 95" sheetId="3" r:id="rId3"/>
  </sheets>
  <definedNames/>
  <calcPr fullCalcOnLoad="1"/>
</workbook>
</file>

<file path=xl/sharedStrings.xml><?xml version="1.0" encoding="utf-8"?>
<sst xmlns="http://schemas.openxmlformats.org/spreadsheetml/2006/main" count="120" uniqueCount="77">
  <si>
    <t>Biểu số 93/CK-NSNN</t>
  </si>
  <si>
    <t>Đơn vị: Triệu đồng</t>
  </si>
  <si>
    <t>STT</t>
  </si>
  <si>
    <t>NỘI DUNG</t>
  </si>
  <si>
    <t xml:space="preserve">Dự toán năm </t>
  </si>
  <si>
    <t>So sánh ước thực hiện với (%)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</si>
  <si>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</si>
  <si>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</si>
  <si>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</si>
  <si>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</si>
  <si>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</si>
  <si>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</si>
  <si>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</si>
  <si>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</si>
  <si>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</si>
  <si>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</si>
  <si>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</si>
  <si>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</si>
  <si>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</si>
  <si>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</si>
  <si>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</si>
  <si>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</si>
  <si>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</si>
  <si>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</si>
  <si>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</si>
  <si>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Chi từ nguồn bổ sung có mục tiêu từ NS cấp tỉnh</t>
  </si>
  <si>
    <t>Biểu số 94/CK-NSNN</t>
  </si>
  <si>
    <t>TỔNG THU NSNN TRÊN ĐỊA BÀN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</si>
  <si>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</si>
  <si>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</si>
  <si>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</si>
  <si>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</si>
  <si>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</si>
  <si>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</si>
  <si>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</si>
  <si>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</si>
  <si>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</si>
  <si>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</si>
  <si>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</si>
  <si>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</si>
  <si>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khác ngân sách</t>
  </si>
  <si>
    <t>Thu từ quỹ đất công ích, hoa lợi công sản khác</t>
  </si>
  <si>
    <t xml:space="preserve">THU NGÂN SÁCH HUYỆN ĐƯỢC HƯỞNG THEO PHÂN CẤP </t>
  </si>
  <si>
    <t>Từ các khoản thu phân chia</t>
  </si>
  <si>
    <t>Các khoản thu ngân sách huyện được hưởng 100%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</si>
  <si>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</si>
  <si>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</si>
  <si>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</si>
  <si>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</si>
  <si>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</si>
  <si>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</si>
  <si>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</si>
  <si>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</si>
  <si>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</si>
  <si>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</si>
  <si>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</si>
  <si>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</si>
  <si>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</si>
  <si>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</si>
  <si>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</si>
  <si>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CHI TỪ NGUỒN BỔ SUNG CÓ MỤC TIÊU TỪ NGÂN SÁCH CẤP TRÊN</t>
  </si>
  <si>
    <t>Chương trình mục tiêu quốc gia</t>
  </si>
  <si>
    <t>Cho các nhiệm vụ, chính sách kinh phí thường xuyên</t>
  </si>
  <si>
    <t>Thực hiện</t>
  </si>
  <si>
    <t>So sánh thực hiện với (%)</t>
  </si>
  <si>
    <t xml:space="preserve">Thực hiện </t>
  </si>
  <si>
    <t>Thu cấp quyền khai thác khoáng sản</t>
  </si>
  <si>
    <t>Thực hiện 31/3/2020</t>
  </si>
  <si>
    <t>Thực hiện 31/03/2020</t>
  </si>
  <si>
    <t>Cho các chương trình dự án vốn đầu tư</t>
  </si>
  <si>
    <t>Thực hiện 31-3-2020</t>
  </si>
  <si>
    <t>UBND HUYỆN NGUYÊN BÌNH</t>
  </si>
  <si>
    <t>Thu từ doanh nghiệp nhà nước TW quản lý</t>
  </si>
  <si>
    <t>Thu từ doanh nghiệp nhà nước địa phương quản lý</t>
  </si>
  <si>
    <t>CÂN ĐỐI NGÂN SÁCH HUYỆN QUÝ III NĂM 2020</t>
  </si>
  <si>
    <t>THỰC HIỆN THU NGÂN SÁCH HUYỆN QUÝ III NĂM 2020</t>
  </si>
  <si>
    <t>THỰC HIỆN CHI NGÂN SÁCH HUYỆN QUÝ III NĂM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</si>
</sst>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#,##0.0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165" fontId="8" fillId="0" borderId="11" xfId="42" applyNumberFormat="1" applyFont="1" applyBorder="1" applyAlignment="1">
      <alignment horizontal="center" vertical="center" wrapText="1"/>
    </xf>
    <xf numFmtId="165" fontId="8" fillId="0" borderId="12" xfId="42" applyNumberFormat="1" applyFont="1" applyBorder="1" applyAlignment="1">
      <alignment horizontal="center" vertical="center" wrapText="1"/>
    </xf>
    <xf numFmtId="165" fontId="5" fillId="0" borderId="12" xfId="42" applyNumberFormat="1" applyFont="1" applyBorder="1" applyAlignment="1">
      <alignment horizontal="center" vertical="center" wrapText="1"/>
    </xf>
    <xf numFmtId="165" fontId="5" fillId="0" borderId="13" xfId="42" applyNumberFormat="1" applyFont="1" applyBorder="1" applyAlignment="1">
      <alignment horizontal="center" vertical="center" wrapText="1"/>
    </xf>
    <xf numFmtId="165" fontId="8" fillId="0" borderId="11" xfId="42" applyNumberFormat="1" applyFont="1" applyBorder="1" applyAlignment="1">
      <alignment horizontal="center" wrapText="1"/>
    </xf>
    <xf numFmtId="165" fontId="8" fillId="0" borderId="12" xfId="42" applyNumberFormat="1" applyFont="1" applyBorder="1" applyAlignment="1">
      <alignment horizontal="center" wrapText="1"/>
    </xf>
    <xf numFmtId="165" fontId="5" fillId="0" borderId="12" xfId="42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165" fontId="48" fillId="0" borderId="12" xfId="42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5" fontId="5" fillId="0" borderId="13" xfId="42" applyNumberFormat="1" applyFont="1" applyBorder="1" applyAlignment="1">
      <alignment/>
    </xf>
    <xf numFmtId="165" fontId="8" fillId="0" borderId="0" xfId="0" applyNumberFormat="1" applyFont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165" fontId="9" fillId="0" borderId="12" xfId="42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65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165" fontId="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8" fillId="0" borderId="11" xfId="42" applyNumberFormat="1" applyFont="1" applyBorder="1" applyAlignment="1">
      <alignment horizontal="center" vertical="center" wrapText="1"/>
    </xf>
    <xf numFmtId="166" fontId="8" fillId="0" borderId="12" xfId="42" applyNumberFormat="1" applyFont="1" applyBorder="1" applyAlignment="1">
      <alignment horizontal="center" vertical="center" wrapText="1"/>
    </xf>
    <xf numFmtId="166" fontId="5" fillId="0" borderId="12" xfId="42" applyNumberFormat="1" applyFont="1" applyBorder="1" applyAlignment="1">
      <alignment horizontal="center" vertical="center" wrapText="1"/>
    </xf>
    <xf numFmtId="166" fontId="5" fillId="0" borderId="13" xfId="42" applyNumberFormat="1" applyFont="1" applyBorder="1" applyAlignment="1">
      <alignment horizontal="center" vertical="center" wrapText="1"/>
    </xf>
    <xf numFmtId="166" fontId="8" fillId="0" borderId="11" xfId="42" applyNumberFormat="1" applyFont="1" applyBorder="1" applyAlignment="1">
      <alignment horizontal="center" wrapText="1"/>
    </xf>
    <xf numFmtId="166" fontId="8" fillId="0" borderId="12" xfId="42" applyNumberFormat="1" applyFont="1" applyBorder="1" applyAlignment="1">
      <alignment horizontal="center" wrapText="1"/>
    </xf>
    <xf numFmtId="166" fontId="5" fillId="0" borderId="12" xfId="42" applyNumberFormat="1" applyFont="1" applyBorder="1" applyAlignment="1">
      <alignment horizontal="center" wrapText="1"/>
    </xf>
    <xf numFmtId="166" fontId="9" fillId="0" borderId="12" xfId="42" applyNumberFormat="1" applyFont="1" applyBorder="1" applyAlignment="1">
      <alignment horizontal="center" wrapText="1"/>
    </xf>
    <xf numFmtId="166" fontId="5" fillId="0" borderId="13" xfId="42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7" fontId="8" fillId="0" borderId="11" xfId="42" applyNumberFormat="1" applyFont="1" applyBorder="1" applyAlignment="1">
      <alignment horizontal="center" vertical="center" wrapText="1"/>
    </xf>
    <xf numFmtId="167" fontId="8" fillId="0" borderId="12" xfId="42" applyNumberFormat="1" applyFont="1" applyBorder="1" applyAlignment="1">
      <alignment horizontal="center" vertical="center" wrapText="1"/>
    </xf>
    <xf numFmtId="167" fontId="5" fillId="0" borderId="12" xfId="42" applyNumberFormat="1" applyFont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21" sqref="D21"/>
    </sheetView>
  </sheetViews>
  <sheetFormatPr defaultColWidth="9.140625" defaultRowHeight="18" customHeight="1"/>
  <cols>
    <col min="1" max="1" width="6.7109375" style="1" customWidth="1"/>
    <col min="2" max="2" width="47.7109375" style="1" customWidth="1"/>
    <col min="3" max="3" width="13.57421875" style="1" customWidth="1"/>
    <col min="4" max="4" width="12.140625" style="1" customWidth="1"/>
    <col min="5" max="5" width="10.57421875" style="1" customWidth="1"/>
    <col min="6" max="6" width="9.7109375" style="1" customWidth="1"/>
    <col min="7" max="7" width="16.28125" style="1" customWidth="1"/>
    <col min="8" max="8" width="16.57421875" style="1" hidden="1" customWidth="1"/>
    <col min="9" max="16384" width="9.140625" style="1" customWidth="1"/>
  </cols>
  <sheetData>
    <row r="1" spans="5:6" ht="18" customHeight="1">
      <c r="E1" s="57" t="s">
        <v>0</v>
      </c>
      <c r="F1" s="57"/>
    </row>
    <row r="2" spans="1:6" s="40" customFormat="1" ht="18" customHeight="1">
      <c r="A2" s="58" t="s">
        <v>71</v>
      </c>
      <c r="B2" s="58"/>
      <c r="C2" s="58"/>
      <c r="D2" s="58"/>
      <c r="E2" s="58"/>
      <c r="F2" s="58"/>
    </row>
    <row r="3" spans="1:6" s="41" customFormat="1" ht="18" customHeight="1">
      <c r="A3" s="59" t="s">
        <v>74</v>
      </c>
      <c r="B3" s="59"/>
      <c r="C3" s="59"/>
      <c r="D3" s="59"/>
      <c r="E3" s="59"/>
      <c r="F3" s="59"/>
    </row>
    <row r="4" spans="5:6" ht="18" customHeight="1">
      <c r="E4" s="60" t="s">
        <v>1</v>
      </c>
      <c r="F4" s="60"/>
    </row>
    <row r="5" spans="1:8" s="3" customFormat="1" ht="42" customHeight="1">
      <c r="A5" s="56" t="s">
        <v>2</v>
      </c>
      <c r="B5" s="56" t="s">
        <v>3</v>
      </c>
      <c r="C5" s="56" t="s">
        <v>4</v>
      </c>
      <c r="D5" s="56" t="s">
        <v>63</v>
      </c>
      <c r="E5" s="56" t="s">
        <v>64</v>
      </c>
      <c r="F5" s="56"/>
      <c r="H5" s="56" t="s">
        <v>70</v>
      </c>
    </row>
    <row r="6" spans="1:8" s="3" customFormat="1" ht="53.25" customHeight="1">
      <c r="A6" s="56"/>
      <c r="B6" s="56"/>
      <c r="C6" s="56"/>
      <c r="D6" s="56"/>
      <c r="E6" s="51" t="s">
        <v>6</v>
      </c>
      <c r="F6" s="51" t="s">
        <v>7</v>
      </c>
      <c r="H6" s="56"/>
    </row>
    <row r="7" spans="1:8" s="2" customFormat="1" ht="19.5" customHeight="1">
      <c r="A7" s="4" t="s">
        <v>8</v>
      </c>
      <c r="B7" s="4" t="s">
        <v>9</v>
      </c>
      <c r="C7" s="4">
        <v>1</v>
      </c>
      <c r="D7" s="4">
        <v>2</v>
      </c>
      <c r="E7" s="4" t="s">
        <v>10</v>
      </c>
      <c r="F7" s="4">
        <v>4</v>
      </c>
      <c r="H7" s="4">
        <v>2</v>
      </c>
    </row>
    <row r="8" spans="1:8" s="3" customFormat="1" ht="24" customHeight="1">
      <c r="A8" s="5" t="s">
        <v>8</v>
      </c>
      <c r="B8" s="6" t="s">
        <v>11</v>
      </c>
      <c r="C8" s="20">
        <f>C9+C12</f>
        <v>20100</v>
      </c>
      <c r="D8" s="20">
        <f>D9+D12</f>
        <v>102350</v>
      </c>
      <c r="E8" s="42">
        <f>+D8/C8%</f>
        <v>509.2039800995025</v>
      </c>
      <c r="F8" s="42">
        <f>D8/62920*100</f>
        <v>162.6668785759695</v>
      </c>
      <c r="H8" s="20">
        <f>H9+H12</f>
        <v>228445.71</v>
      </c>
    </row>
    <row r="9" spans="1:8" s="3" customFormat="1" ht="24" customHeight="1">
      <c r="A9" s="9" t="s">
        <v>12</v>
      </c>
      <c r="B9" s="10" t="s">
        <v>13</v>
      </c>
      <c r="C9" s="21">
        <f>+C10+C11</f>
        <v>20100</v>
      </c>
      <c r="D9" s="21">
        <f>+D10+D11</f>
        <v>14999</v>
      </c>
      <c r="E9" s="43">
        <f aca="true" t="shared" si="0" ref="E9:E18">+D9/C9%</f>
        <v>74.62189054726367</v>
      </c>
      <c r="F9" s="43">
        <f>D9/13865*100</f>
        <v>108.17886765236207</v>
      </c>
      <c r="H9" s="21">
        <f>+H10+H11</f>
        <v>16819.71</v>
      </c>
    </row>
    <row r="10" spans="1:8" ht="24" customHeight="1">
      <c r="A10" s="7">
        <v>1</v>
      </c>
      <c r="B10" s="8" t="s">
        <v>14</v>
      </c>
      <c r="C10" s="22">
        <v>20100</v>
      </c>
      <c r="D10" s="22">
        <v>14999</v>
      </c>
      <c r="E10" s="44">
        <f>+D10/C10%</f>
        <v>74.62189054726367</v>
      </c>
      <c r="F10" s="44">
        <f>D10/13865%</f>
        <v>108.17886765236206</v>
      </c>
      <c r="H10" s="22">
        <f>+'B 94'!H9</f>
        <v>16819.71</v>
      </c>
    </row>
    <row r="11" spans="1:8" ht="24" customHeight="1">
      <c r="A11" s="7">
        <v>2</v>
      </c>
      <c r="B11" s="8" t="s">
        <v>15</v>
      </c>
      <c r="C11" s="22">
        <v>0</v>
      </c>
      <c r="D11" s="22"/>
      <c r="E11" s="44"/>
      <c r="F11" s="44"/>
      <c r="H11" s="22">
        <v>0</v>
      </c>
    </row>
    <row r="12" spans="1:8" s="3" customFormat="1" ht="24" customHeight="1">
      <c r="A12" s="9" t="s">
        <v>16</v>
      </c>
      <c r="B12" s="10" t="s">
        <v>17</v>
      </c>
      <c r="C12" s="21"/>
      <c r="D12" s="21">
        <v>87351</v>
      </c>
      <c r="E12" s="44"/>
      <c r="F12" s="43">
        <f>D12/49055%</f>
        <v>178.06747528284578</v>
      </c>
      <c r="H12" s="28">
        <v>211626</v>
      </c>
    </row>
    <row r="13" spans="1:9" s="3" customFormat="1" ht="24" customHeight="1">
      <c r="A13" s="9" t="s">
        <v>9</v>
      </c>
      <c r="B13" s="10" t="s">
        <v>18</v>
      </c>
      <c r="C13" s="21">
        <f>+C14+C18</f>
        <v>562299</v>
      </c>
      <c r="D13" s="21">
        <f>+D14+D18</f>
        <v>396108</v>
      </c>
      <c r="E13" s="43">
        <f t="shared" si="0"/>
        <v>70.44437212230504</v>
      </c>
      <c r="F13" s="43">
        <f>D13/282044%</f>
        <v>140.4419168640354</v>
      </c>
      <c r="H13" s="21">
        <f>+H14+H18</f>
        <v>141784.961</v>
      </c>
      <c r="I13" s="31"/>
    </row>
    <row r="14" spans="1:8" s="3" customFormat="1" ht="24" customHeight="1">
      <c r="A14" s="9" t="s">
        <v>19</v>
      </c>
      <c r="B14" s="10" t="s">
        <v>20</v>
      </c>
      <c r="C14" s="21">
        <f>+C15+C16+C17</f>
        <v>380932</v>
      </c>
      <c r="D14" s="21">
        <f>+D15+D16+D17</f>
        <v>270409</v>
      </c>
      <c r="E14" s="43">
        <f t="shared" si="0"/>
        <v>70.98616025957388</v>
      </c>
      <c r="F14" s="43">
        <f>D14/261322%</f>
        <v>103.47731916945378</v>
      </c>
      <c r="H14" s="21">
        <f>+H15+H16+H17</f>
        <v>134476.39</v>
      </c>
    </row>
    <row r="15" spans="1:8" ht="24" customHeight="1">
      <c r="A15" s="7">
        <v>1</v>
      </c>
      <c r="B15" s="8" t="s">
        <v>21</v>
      </c>
      <c r="C15" s="22">
        <v>30655</v>
      </c>
      <c r="D15" s="22">
        <v>116946</v>
      </c>
      <c r="E15" s="44">
        <f t="shared" si="0"/>
        <v>381.4907845375958</v>
      </c>
      <c r="F15" s="44">
        <f>D15/54994%</f>
        <v>212.65228934065533</v>
      </c>
      <c r="H15" s="22">
        <f>'B 95'!H11</f>
        <v>3454.498</v>
      </c>
    </row>
    <row r="16" spans="1:8" ht="24" customHeight="1">
      <c r="A16" s="7">
        <v>2</v>
      </c>
      <c r="B16" s="8" t="s">
        <v>22</v>
      </c>
      <c r="C16" s="22">
        <v>342808</v>
      </c>
      <c r="D16" s="22">
        <f>215126+67416-1971-619-790-D17-D18</f>
        <v>151328</v>
      </c>
      <c r="E16" s="44">
        <f t="shared" si="0"/>
        <v>44.14366059135143</v>
      </c>
      <c r="F16" s="44">
        <f>D16/202627%</f>
        <v>74.68303829203413</v>
      </c>
      <c r="H16" s="22">
        <f>'B 95'!H14</f>
        <v>127168.892</v>
      </c>
    </row>
    <row r="17" spans="1:8" ht="24" customHeight="1">
      <c r="A17" s="7">
        <v>3</v>
      </c>
      <c r="B17" s="8" t="s">
        <v>23</v>
      </c>
      <c r="C17" s="22">
        <v>7469</v>
      </c>
      <c r="D17" s="22">
        <v>2135</v>
      </c>
      <c r="E17" s="44">
        <f t="shared" si="0"/>
        <v>28.58481724461106</v>
      </c>
      <c r="F17" s="44">
        <f>D17/3701%</f>
        <v>57.68711159146177</v>
      </c>
      <c r="H17" s="22">
        <f>'B 95'!H26</f>
        <v>3853</v>
      </c>
    </row>
    <row r="18" spans="1:8" s="3" customFormat="1" ht="24" customHeight="1">
      <c r="A18" s="9" t="s">
        <v>16</v>
      </c>
      <c r="B18" s="10" t="s">
        <v>25</v>
      </c>
      <c r="C18" s="21">
        <f>54183+127184</f>
        <v>181367</v>
      </c>
      <c r="D18" s="21">
        <f>21562+104137</f>
        <v>125699</v>
      </c>
      <c r="E18" s="43">
        <f t="shared" si="0"/>
        <v>69.30643391576196</v>
      </c>
      <c r="F18" s="43">
        <f>D18/20722%</f>
        <v>606.5968535855612</v>
      </c>
      <c r="H18" s="21">
        <f>'B 95'!H27</f>
        <v>7308.571</v>
      </c>
    </row>
    <row r="19" spans="1:8" ht="24" customHeight="1">
      <c r="A19" s="11"/>
      <c r="B19" s="12"/>
      <c r="C19" s="23"/>
      <c r="D19" s="23"/>
      <c r="E19" s="45"/>
      <c r="F19" s="45"/>
      <c r="H19" s="23"/>
    </row>
  </sheetData>
  <sheetProtection/>
  <mergeCells count="10">
    <mergeCell ref="H5:H6"/>
    <mergeCell ref="E1:F1"/>
    <mergeCell ref="A2:F2"/>
    <mergeCell ref="A3:F3"/>
    <mergeCell ref="E4:F4"/>
    <mergeCell ref="E5:F5"/>
    <mergeCell ref="A5:A6"/>
    <mergeCell ref="B5:B6"/>
    <mergeCell ref="C5:C6"/>
    <mergeCell ref="D5:D6"/>
  </mergeCells>
  <printOptions/>
  <pageMargins left="0.52" right="0.34" top="1" bottom="0.57" header="0.84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10" sqref="D10"/>
    </sheetView>
  </sheetViews>
  <sheetFormatPr defaultColWidth="9.140625" defaultRowHeight="21" customHeight="1"/>
  <cols>
    <col min="1" max="1" width="5.8515625" style="29" customWidth="1"/>
    <col min="2" max="2" width="40.57421875" style="29" customWidth="1"/>
    <col min="3" max="5" width="12.421875" style="29" customWidth="1"/>
    <col min="6" max="6" width="13.57421875" style="29" customWidth="1"/>
    <col min="7" max="7" width="15.57421875" style="29" customWidth="1"/>
    <col min="8" max="8" width="15.57421875" style="29" hidden="1" customWidth="1"/>
    <col min="9" max="9" width="15.57421875" style="29" customWidth="1"/>
    <col min="10" max="16384" width="9.140625" style="29" customWidth="1"/>
  </cols>
  <sheetData>
    <row r="1" spans="5:6" ht="21" customHeight="1">
      <c r="E1" s="62" t="s">
        <v>26</v>
      </c>
      <c r="F1" s="62"/>
    </row>
    <row r="2" spans="1:6" s="40" customFormat="1" ht="18" customHeight="1">
      <c r="A2" s="58" t="s">
        <v>71</v>
      </c>
      <c r="B2" s="58"/>
      <c r="C2" s="58"/>
      <c r="D2" s="58"/>
      <c r="E2" s="58"/>
      <c r="F2" s="58"/>
    </row>
    <row r="3" spans="1:6" s="41" customFormat="1" ht="18" customHeight="1">
      <c r="A3" s="61" t="s">
        <v>75</v>
      </c>
      <c r="B3" s="61"/>
      <c r="C3" s="61"/>
      <c r="D3" s="61"/>
      <c r="E3" s="61"/>
      <c r="F3" s="61"/>
    </row>
    <row r="4" spans="5:6" ht="18" customHeight="1">
      <c r="E4" s="63" t="s">
        <v>1</v>
      </c>
      <c r="F4" s="63"/>
    </row>
    <row r="5" spans="1:8" ht="36.75" customHeight="1">
      <c r="A5" s="56" t="s">
        <v>2</v>
      </c>
      <c r="B5" s="56" t="s">
        <v>3</v>
      </c>
      <c r="C5" s="56" t="s">
        <v>6</v>
      </c>
      <c r="D5" s="56" t="s">
        <v>65</v>
      </c>
      <c r="E5" s="56" t="s">
        <v>5</v>
      </c>
      <c r="F5" s="56"/>
      <c r="H5" s="56" t="s">
        <v>67</v>
      </c>
    </row>
    <row r="6" spans="1:8" ht="42" customHeight="1">
      <c r="A6" s="56"/>
      <c r="B6" s="56"/>
      <c r="C6" s="56"/>
      <c r="D6" s="56"/>
      <c r="E6" s="51" t="s">
        <v>6</v>
      </c>
      <c r="F6" s="51" t="s">
        <v>7</v>
      </c>
      <c r="H6" s="56"/>
    </row>
    <row r="7" spans="1:8" s="34" customFormat="1" ht="21" customHeight="1">
      <c r="A7" s="4" t="s">
        <v>8</v>
      </c>
      <c r="B7" s="4" t="s">
        <v>9</v>
      </c>
      <c r="C7" s="4">
        <v>1</v>
      </c>
      <c r="D7" s="4">
        <v>2</v>
      </c>
      <c r="E7" s="4" t="s">
        <v>10</v>
      </c>
      <c r="F7" s="4">
        <v>4</v>
      </c>
      <c r="H7" s="4">
        <v>2</v>
      </c>
    </row>
    <row r="8" spans="1:8" ht="21" customHeight="1">
      <c r="A8" s="13" t="s">
        <v>8</v>
      </c>
      <c r="B8" s="14" t="s">
        <v>27</v>
      </c>
      <c r="C8" s="24">
        <f>+C9+C26</f>
        <v>20100</v>
      </c>
      <c r="D8" s="24">
        <f>+D9+D26</f>
        <v>14999.1</v>
      </c>
      <c r="E8" s="46">
        <f>+D8/C8%</f>
        <v>74.62238805970149</v>
      </c>
      <c r="F8" s="46">
        <f>D8/13864%</f>
        <v>108.18739180611658</v>
      </c>
      <c r="H8" s="24">
        <f>+H9+H26</f>
        <v>16819.71</v>
      </c>
    </row>
    <row r="9" spans="1:8" ht="21" customHeight="1">
      <c r="A9" s="15" t="s">
        <v>12</v>
      </c>
      <c r="B9" s="16" t="s">
        <v>14</v>
      </c>
      <c r="C9" s="25">
        <f>+C10+C11+C12+C13+C14+C15+C16+C17+C23+C24+C25</f>
        <v>20100</v>
      </c>
      <c r="D9" s="25">
        <f>+D10+D11+D12+D13+D14+D15+D16+D17+D23+D24+D25</f>
        <v>14999.1</v>
      </c>
      <c r="E9" s="47">
        <f aca="true" t="shared" si="0" ref="E9:E28">+D9/C9%</f>
        <v>74.62238805970149</v>
      </c>
      <c r="F9" s="47">
        <f>D9/13864%</f>
        <v>108.18739180611658</v>
      </c>
      <c r="G9" s="35"/>
      <c r="H9" s="25">
        <f>+H10+H11+H12+H13+H14+H15+H16+H17+H23+H24+H25</f>
        <v>16819.71</v>
      </c>
    </row>
    <row r="10" spans="1:8" ht="21" customHeight="1">
      <c r="A10" s="17">
        <v>1</v>
      </c>
      <c r="B10" s="18" t="s">
        <v>72</v>
      </c>
      <c r="C10" s="26">
        <v>550</v>
      </c>
      <c r="D10" s="26">
        <v>329</v>
      </c>
      <c r="E10" s="48">
        <f t="shared" si="0"/>
        <v>59.81818181818182</v>
      </c>
      <c r="F10" s="48">
        <f>D10/467%</f>
        <v>70.44967880085653</v>
      </c>
      <c r="H10" s="26">
        <f>130.979+25.491</f>
        <v>156.47000000000003</v>
      </c>
    </row>
    <row r="11" spans="1:8" ht="34.5" customHeight="1">
      <c r="A11" s="17">
        <v>2</v>
      </c>
      <c r="B11" s="18" t="s">
        <v>73</v>
      </c>
      <c r="C11" s="26">
        <v>130</v>
      </c>
      <c r="D11" s="26">
        <v>336</v>
      </c>
      <c r="E11" s="48">
        <f t="shared" si="0"/>
        <v>258.46153846153845</v>
      </c>
      <c r="F11" s="48">
        <f>D11/72*100</f>
        <v>466.6666666666667</v>
      </c>
      <c r="H11" s="26">
        <v>0</v>
      </c>
    </row>
    <row r="12" spans="1:8" ht="21" customHeight="1">
      <c r="A12" s="17">
        <v>3</v>
      </c>
      <c r="B12" s="18" t="s">
        <v>28</v>
      </c>
      <c r="C12" s="26">
        <v>11660</v>
      </c>
      <c r="D12" s="26">
        <v>7977</v>
      </c>
      <c r="E12" s="48">
        <f t="shared" si="0"/>
        <v>68.41337907375643</v>
      </c>
      <c r="F12" s="48">
        <f>D12/6689%</f>
        <v>119.25549409478248</v>
      </c>
      <c r="H12" s="26">
        <v>4373.455</v>
      </c>
    </row>
    <row r="13" spans="1:8" ht="21" customHeight="1">
      <c r="A13" s="17">
        <v>4</v>
      </c>
      <c r="B13" s="18" t="s">
        <v>29</v>
      </c>
      <c r="C13" s="26">
        <v>780</v>
      </c>
      <c r="D13" s="26">
        <v>701</v>
      </c>
      <c r="E13" s="48">
        <f t="shared" si="0"/>
        <v>89.87179487179488</v>
      </c>
      <c r="F13" s="48">
        <f>D13/561%</f>
        <v>124.9554367201426</v>
      </c>
      <c r="H13" s="26">
        <v>780</v>
      </c>
    </row>
    <row r="14" spans="1:8" ht="21" customHeight="1">
      <c r="A14" s="17">
        <v>5</v>
      </c>
      <c r="B14" s="18" t="s">
        <v>30</v>
      </c>
      <c r="C14" s="26">
        <v>0</v>
      </c>
      <c r="D14" s="26"/>
      <c r="E14" s="48"/>
      <c r="F14" s="48"/>
      <c r="H14" s="26">
        <v>0</v>
      </c>
    </row>
    <row r="15" spans="1:8" ht="21" customHeight="1">
      <c r="A15" s="17">
        <v>6</v>
      </c>
      <c r="B15" s="18" t="s">
        <v>31</v>
      </c>
      <c r="C15" s="26">
        <v>3000</v>
      </c>
      <c r="D15" s="26">
        <v>2126</v>
      </c>
      <c r="E15" s="48">
        <f t="shared" si="0"/>
        <v>70.86666666666666</v>
      </c>
      <c r="F15" s="48">
        <f>D15/2057%</f>
        <v>103.3543996110841</v>
      </c>
      <c r="H15" s="26">
        <v>3190.912</v>
      </c>
    </row>
    <row r="16" spans="1:8" ht="21" customHeight="1">
      <c r="A16" s="17">
        <v>7</v>
      </c>
      <c r="B16" s="18" t="s">
        <v>32</v>
      </c>
      <c r="C16" s="26">
        <v>1065</v>
      </c>
      <c r="D16" s="26">
        <v>884</v>
      </c>
      <c r="E16" s="48">
        <f t="shared" si="0"/>
        <v>83.00469483568075</v>
      </c>
      <c r="F16" s="48">
        <f>D16/705%</f>
        <v>125.39007092198582</v>
      </c>
      <c r="H16" s="26">
        <v>2643</v>
      </c>
    </row>
    <row r="17" spans="1:8" ht="21" customHeight="1">
      <c r="A17" s="17">
        <v>8</v>
      </c>
      <c r="B17" s="18" t="s">
        <v>33</v>
      </c>
      <c r="C17" s="26">
        <f>SUM(C18:C22)</f>
        <v>1260</v>
      </c>
      <c r="D17" s="26">
        <f>SUM(D18:D22)</f>
        <v>1163.1</v>
      </c>
      <c r="E17" s="48">
        <f t="shared" si="0"/>
        <v>92.30952380952381</v>
      </c>
      <c r="F17" s="48">
        <f>D17/911%</f>
        <v>127.67288693743139</v>
      </c>
      <c r="H17" s="26">
        <f>SUM(H18:H22)</f>
        <v>3313.873</v>
      </c>
    </row>
    <row r="18" spans="1:8" s="36" customFormat="1" ht="21" customHeight="1">
      <c r="A18" s="32" t="s">
        <v>34</v>
      </c>
      <c r="B18" s="19" t="s">
        <v>35</v>
      </c>
      <c r="C18" s="33"/>
      <c r="D18" s="33"/>
      <c r="E18" s="49"/>
      <c r="F18" s="49"/>
      <c r="H18" s="33"/>
    </row>
    <row r="19" spans="1:8" s="36" customFormat="1" ht="21" customHeight="1">
      <c r="A19" s="32" t="s">
        <v>34</v>
      </c>
      <c r="B19" s="19" t="s">
        <v>36</v>
      </c>
      <c r="C19" s="33">
        <v>10</v>
      </c>
      <c r="D19" s="33">
        <v>0.1</v>
      </c>
      <c r="E19" s="49">
        <f t="shared" si="0"/>
        <v>1</v>
      </c>
      <c r="F19" s="49">
        <f>D19/5%</f>
        <v>2</v>
      </c>
      <c r="H19" s="33">
        <v>0.216</v>
      </c>
    </row>
    <row r="20" spans="1:8" s="36" customFormat="1" ht="21" customHeight="1">
      <c r="A20" s="32" t="s">
        <v>34</v>
      </c>
      <c r="B20" s="19" t="s">
        <v>37</v>
      </c>
      <c r="C20" s="33">
        <v>1100</v>
      </c>
      <c r="D20" s="33">
        <v>1091</v>
      </c>
      <c r="E20" s="49">
        <f t="shared" si="0"/>
        <v>99.18181818181819</v>
      </c>
      <c r="F20" s="49">
        <f>D20/857%</f>
        <v>127.30455075845974</v>
      </c>
      <c r="H20" s="33">
        <v>2409.657</v>
      </c>
    </row>
    <row r="21" spans="1:8" s="36" customFormat="1" ht="21" customHeight="1">
      <c r="A21" s="32" t="s">
        <v>34</v>
      </c>
      <c r="B21" s="19" t="s">
        <v>38</v>
      </c>
      <c r="C21" s="33">
        <v>150</v>
      </c>
      <c r="D21" s="33">
        <v>72</v>
      </c>
      <c r="E21" s="49">
        <f t="shared" si="0"/>
        <v>48</v>
      </c>
      <c r="F21" s="49">
        <f>D21/49%</f>
        <v>146.9387755102041</v>
      </c>
      <c r="H21" s="33">
        <v>664</v>
      </c>
    </row>
    <row r="22" spans="1:8" s="36" customFormat="1" ht="35.25" customHeight="1">
      <c r="A22" s="32" t="s">
        <v>34</v>
      </c>
      <c r="B22" s="19" t="s">
        <v>39</v>
      </c>
      <c r="C22" s="33"/>
      <c r="D22" s="33">
        <v>0</v>
      </c>
      <c r="E22" s="49"/>
      <c r="F22" s="49"/>
      <c r="H22" s="33">
        <v>240</v>
      </c>
    </row>
    <row r="23" spans="1:8" ht="21" customHeight="1">
      <c r="A23" s="17">
        <v>9</v>
      </c>
      <c r="B23" s="18" t="s">
        <v>66</v>
      </c>
      <c r="C23" s="26">
        <v>255</v>
      </c>
      <c r="D23" s="26">
        <v>13</v>
      </c>
      <c r="E23" s="49">
        <f t="shared" si="0"/>
        <v>5.098039215686275</v>
      </c>
      <c r="F23" s="49">
        <f>D23/265%</f>
        <v>4.90566037735849</v>
      </c>
      <c r="H23" s="26">
        <v>0</v>
      </c>
    </row>
    <row r="24" spans="1:8" ht="21" customHeight="1">
      <c r="A24" s="17">
        <v>10</v>
      </c>
      <c r="B24" s="18" t="s">
        <v>40</v>
      </c>
      <c r="C24" s="26">
        <v>1400</v>
      </c>
      <c r="D24" s="26">
        <v>1470</v>
      </c>
      <c r="E24" s="48">
        <f t="shared" si="0"/>
        <v>105</v>
      </c>
      <c r="F24" s="48">
        <f>D24/2137%</f>
        <v>68.7880205896116</v>
      </c>
      <c r="H24" s="26">
        <v>2362</v>
      </c>
    </row>
    <row r="25" spans="1:8" ht="35.25" customHeight="1">
      <c r="A25" s="17">
        <v>11</v>
      </c>
      <c r="B25" s="18" t="s">
        <v>41</v>
      </c>
      <c r="C25" s="26">
        <v>0</v>
      </c>
      <c r="D25" s="26"/>
      <c r="E25" s="48"/>
      <c r="F25" s="48"/>
      <c r="H25" s="26"/>
    </row>
    <row r="26" spans="1:8" ht="21" customHeight="1">
      <c r="A26" s="15" t="s">
        <v>16</v>
      </c>
      <c r="B26" s="16" t="s">
        <v>15</v>
      </c>
      <c r="C26" s="26"/>
      <c r="D26" s="26"/>
      <c r="E26" s="47"/>
      <c r="F26" s="48"/>
      <c r="H26" s="26"/>
    </row>
    <row r="27" spans="1:8" s="37" customFormat="1" ht="35.25" customHeight="1">
      <c r="A27" s="15" t="s">
        <v>9</v>
      </c>
      <c r="B27" s="16" t="s">
        <v>42</v>
      </c>
      <c r="C27" s="25">
        <f>C28+C29</f>
        <v>17275</v>
      </c>
      <c r="D27" s="25">
        <f>D28+D29</f>
        <v>12026</v>
      </c>
      <c r="E27" s="47">
        <f t="shared" si="0"/>
        <v>69.6150506512301</v>
      </c>
      <c r="F27" s="47">
        <f>D27/10571%</f>
        <v>113.76407151641284</v>
      </c>
      <c r="H27" s="25">
        <f>H28+H29</f>
        <v>11096.914</v>
      </c>
    </row>
    <row r="28" spans="1:8" ht="29.25" customHeight="1">
      <c r="A28" s="17">
        <v>1</v>
      </c>
      <c r="B28" s="18" t="s">
        <v>43</v>
      </c>
      <c r="C28" s="26">
        <v>17275</v>
      </c>
      <c r="D28" s="26">
        <v>12026</v>
      </c>
      <c r="E28" s="48">
        <f t="shared" si="0"/>
        <v>69.6150506512301</v>
      </c>
      <c r="F28" s="48">
        <f>D28/10571%</f>
        <v>113.76407151641284</v>
      </c>
      <c r="H28" s="26">
        <v>578</v>
      </c>
    </row>
    <row r="29" spans="1:8" ht="36.75" customHeight="1">
      <c r="A29" s="17">
        <v>2</v>
      </c>
      <c r="B29" s="18" t="s">
        <v>44</v>
      </c>
      <c r="C29" s="26"/>
      <c r="D29" s="26"/>
      <c r="E29" s="48"/>
      <c r="F29" s="48"/>
      <c r="H29" s="26">
        <v>10518.914</v>
      </c>
    </row>
    <row r="30" spans="1:8" ht="21" customHeight="1">
      <c r="A30" s="38"/>
      <c r="B30" s="38"/>
      <c r="C30" s="30"/>
      <c r="D30" s="30"/>
      <c r="E30" s="50"/>
      <c r="F30" s="50"/>
      <c r="H30" s="30"/>
    </row>
  </sheetData>
  <sheetProtection/>
  <mergeCells count="10">
    <mergeCell ref="A3:F3"/>
    <mergeCell ref="H5:H6"/>
    <mergeCell ref="E1:F1"/>
    <mergeCell ref="A2:F2"/>
    <mergeCell ref="A5:A6"/>
    <mergeCell ref="B5:B6"/>
    <mergeCell ref="C5:C6"/>
    <mergeCell ref="D5:D6"/>
    <mergeCell ref="E5:F5"/>
    <mergeCell ref="E4:F4"/>
  </mergeCells>
  <printOptions/>
  <pageMargins left="0.66" right="0.42" top="0.68" bottom="0.59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4">
      <selection activeCell="F31" sqref="F31"/>
    </sheetView>
  </sheetViews>
  <sheetFormatPr defaultColWidth="9.140625" defaultRowHeight="21.75" customHeight="1"/>
  <cols>
    <col min="1" max="1" width="5.57421875" style="1" customWidth="1"/>
    <col min="2" max="2" width="51.57421875" style="1" customWidth="1"/>
    <col min="3" max="3" width="12.28125" style="1" customWidth="1"/>
    <col min="4" max="4" width="12.421875" style="1" customWidth="1"/>
    <col min="5" max="5" width="12.28125" style="1" customWidth="1"/>
    <col min="6" max="6" width="11.7109375" style="1" customWidth="1"/>
    <col min="7" max="7" width="13.8515625" style="1" customWidth="1"/>
    <col min="8" max="8" width="14.57421875" style="1" hidden="1" customWidth="1"/>
    <col min="9" max="9" width="14.57421875" style="1" customWidth="1"/>
    <col min="10" max="10" width="18.28125" style="1" customWidth="1"/>
    <col min="11" max="16384" width="9.140625" style="1" customWidth="1"/>
  </cols>
  <sheetData>
    <row r="1" spans="5:6" ht="21.75" customHeight="1">
      <c r="E1" s="67" t="s">
        <v>45</v>
      </c>
      <c r="F1" s="67"/>
    </row>
    <row r="2" spans="1:6" s="41" customFormat="1" ht="18.75" customHeight="1">
      <c r="A2" s="58" t="s">
        <v>71</v>
      </c>
      <c r="B2" s="58"/>
      <c r="C2" s="58"/>
      <c r="D2" s="58"/>
      <c r="E2" s="58"/>
      <c r="F2" s="58"/>
    </row>
    <row r="3" spans="1:6" s="41" customFormat="1" ht="21.75" customHeight="1">
      <c r="A3" s="61" t="s">
        <v>76</v>
      </c>
      <c r="B3" s="61"/>
      <c r="C3" s="61"/>
      <c r="D3" s="61"/>
      <c r="E3" s="61"/>
      <c r="F3" s="61"/>
    </row>
    <row r="4" spans="5:6" ht="21.75" customHeight="1">
      <c r="E4" s="68" t="s">
        <v>1</v>
      </c>
      <c r="F4" s="68"/>
    </row>
    <row r="5" spans="1:8" ht="40.5" customHeight="1">
      <c r="A5" s="56" t="s">
        <v>2</v>
      </c>
      <c r="B5" s="56" t="s">
        <v>3</v>
      </c>
      <c r="C5" s="56" t="s">
        <v>6</v>
      </c>
      <c r="D5" s="56" t="s">
        <v>63</v>
      </c>
      <c r="E5" s="56" t="s">
        <v>5</v>
      </c>
      <c r="F5" s="56"/>
      <c r="H5" s="66" t="s">
        <v>68</v>
      </c>
    </row>
    <row r="6" spans="1:8" ht="21.75" customHeight="1">
      <c r="A6" s="56"/>
      <c r="B6" s="56"/>
      <c r="C6" s="56"/>
      <c r="D6" s="56"/>
      <c r="E6" s="56" t="s">
        <v>6</v>
      </c>
      <c r="F6" s="64" t="s">
        <v>7</v>
      </c>
      <c r="H6" s="56"/>
    </row>
    <row r="7" spans="1:8" ht="21.75" customHeight="1">
      <c r="A7" s="56"/>
      <c r="B7" s="56"/>
      <c r="C7" s="56"/>
      <c r="D7" s="56"/>
      <c r="E7" s="56"/>
      <c r="F7" s="65"/>
      <c r="H7" s="56"/>
    </row>
    <row r="8" spans="1:8" s="2" customFormat="1" ht="17.25" customHeight="1">
      <c r="A8" s="4" t="s">
        <v>8</v>
      </c>
      <c r="B8" s="4" t="s">
        <v>9</v>
      </c>
      <c r="C8" s="4">
        <v>1</v>
      </c>
      <c r="D8" s="4">
        <v>2</v>
      </c>
      <c r="E8" s="4" t="s">
        <v>10</v>
      </c>
      <c r="F8" s="4">
        <v>4</v>
      </c>
      <c r="H8" s="4"/>
    </row>
    <row r="9" spans="1:9" ht="21.75" customHeight="1">
      <c r="A9" s="5"/>
      <c r="B9" s="6" t="s">
        <v>18</v>
      </c>
      <c r="C9" s="20">
        <f>+C10+C27</f>
        <v>592299</v>
      </c>
      <c r="D9" s="20">
        <f>+D10+D27</f>
        <v>396105</v>
      </c>
      <c r="E9" s="52">
        <f>+D9/C9%</f>
        <v>66.87585155470464</v>
      </c>
      <c r="F9" s="52">
        <f>D9/349169%</f>
        <v>113.44220134089795</v>
      </c>
      <c r="H9" s="20">
        <f>+H10+H27</f>
        <v>141784.961</v>
      </c>
      <c r="I9" s="39"/>
    </row>
    <row r="10" spans="1:8" s="3" customFormat="1" ht="21.75" customHeight="1">
      <c r="A10" s="9" t="s">
        <v>8</v>
      </c>
      <c r="B10" s="10" t="s">
        <v>46</v>
      </c>
      <c r="C10" s="21">
        <f>+C11+C14+C26</f>
        <v>410932</v>
      </c>
      <c r="D10" s="21">
        <f>+D11+D14+D26</f>
        <v>270405</v>
      </c>
      <c r="E10" s="53">
        <f aca="true" t="shared" si="0" ref="E10:E25">+D10/C10%</f>
        <v>65.80285789376344</v>
      </c>
      <c r="F10" s="53">
        <f>D10/285400%</f>
        <v>94.74597056762438</v>
      </c>
      <c r="H10" s="21">
        <f>+H11+H14+H26</f>
        <v>134476.39</v>
      </c>
    </row>
    <row r="11" spans="1:8" ht="21.75" customHeight="1">
      <c r="A11" s="9" t="s">
        <v>12</v>
      </c>
      <c r="B11" s="10" t="s">
        <v>21</v>
      </c>
      <c r="C11" s="21">
        <f>+C12+C13</f>
        <v>60655</v>
      </c>
      <c r="D11" s="21">
        <f>+D12+D13</f>
        <v>12808</v>
      </c>
      <c r="E11" s="53">
        <f t="shared" si="0"/>
        <v>21.116148709916743</v>
      </c>
      <c r="F11" s="53">
        <f>D11/54993%</f>
        <v>23.290236939246814</v>
      </c>
      <c r="H11" s="21">
        <f>+H12+H13</f>
        <v>3454.498</v>
      </c>
    </row>
    <row r="12" spans="1:8" ht="21.75" customHeight="1">
      <c r="A12" s="7">
        <v>1</v>
      </c>
      <c r="B12" s="8" t="s">
        <v>47</v>
      </c>
      <c r="C12" s="22">
        <v>60655</v>
      </c>
      <c r="D12" s="22">
        <f>116946-D28</f>
        <v>12808</v>
      </c>
      <c r="E12" s="54">
        <f t="shared" si="0"/>
        <v>21.116148709916743</v>
      </c>
      <c r="F12" s="54">
        <f>D12/54993%</f>
        <v>23.290236939246814</v>
      </c>
      <c r="H12" s="22">
        <v>3454.498</v>
      </c>
    </row>
    <row r="13" spans="1:8" ht="21.75" customHeight="1">
      <c r="A13" s="7">
        <v>2</v>
      </c>
      <c r="B13" s="8" t="s">
        <v>48</v>
      </c>
      <c r="C13" s="22">
        <v>0</v>
      </c>
      <c r="D13" s="22"/>
      <c r="E13" s="54"/>
      <c r="F13" s="54"/>
      <c r="H13" s="22"/>
    </row>
    <row r="14" spans="1:8" ht="21.75" customHeight="1">
      <c r="A14" s="9" t="s">
        <v>16</v>
      </c>
      <c r="B14" s="10" t="s">
        <v>22</v>
      </c>
      <c r="C14" s="21">
        <v>342808</v>
      </c>
      <c r="D14" s="21">
        <f>SUM(D16:D25)-D30-D26</f>
        <v>255462</v>
      </c>
      <c r="E14" s="53">
        <f t="shared" si="0"/>
        <v>74.5204312618142</v>
      </c>
      <c r="F14" s="53">
        <f>D14/226706%</f>
        <v>112.68426949441127</v>
      </c>
      <c r="G14" s="3"/>
      <c r="H14" s="21">
        <f>131021.892-H26-H30</f>
        <v>127168.892</v>
      </c>
    </row>
    <row r="15" spans="1:8" ht="21.75" customHeight="1">
      <c r="A15" s="7"/>
      <c r="B15" s="27" t="s">
        <v>49</v>
      </c>
      <c r="C15" s="22"/>
      <c r="D15" s="22"/>
      <c r="E15" s="53"/>
      <c r="F15" s="53"/>
      <c r="H15" s="22"/>
    </row>
    <row r="16" spans="1:8" ht="21.75" customHeight="1">
      <c r="A16" s="7">
        <v>1</v>
      </c>
      <c r="B16" s="8" t="s">
        <v>50</v>
      </c>
      <c r="C16" s="22">
        <f>179260-10266</f>
        <v>168994</v>
      </c>
      <c r="D16" s="22">
        <f>117834+89</f>
        <v>117923</v>
      </c>
      <c r="E16" s="54">
        <f t="shared" si="0"/>
        <v>69.77940045208706</v>
      </c>
      <c r="F16" s="54">
        <f>D16/112798%</f>
        <v>104.54352027518219</v>
      </c>
      <c r="H16" s="22">
        <v>64908</v>
      </c>
    </row>
    <row r="17" spans="1:8" ht="21.75" customHeight="1">
      <c r="A17" s="7">
        <v>2</v>
      </c>
      <c r="B17" s="8" t="s">
        <v>51</v>
      </c>
      <c r="C17" s="22">
        <v>0</v>
      </c>
      <c r="D17" s="22">
        <v>0</v>
      </c>
      <c r="E17" s="54"/>
      <c r="F17" s="54"/>
      <c r="H17" s="22">
        <v>0</v>
      </c>
    </row>
    <row r="18" spans="1:8" ht="21.75" customHeight="1">
      <c r="A18" s="7">
        <v>3</v>
      </c>
      <c r="B18" s="8" t="s">
        <v>52</v>
      </c>
      <c r="C18" s="22">
        <f>30433-15152</f>
        <v>15281</v>
      </c>
      <c r="D18" s="22">
        <v>21562</v>
      </c>
      <c r="E18" s="54">
        <f t="shared" si="0"/>
        <v>141.1033309338394</v>
      </c>
      <c r="F18" s="54">
        <f>D18/20722%</f>
        <v>104.05366277386352</v>
      </c>
      <c r="H18" s="22">
        <v>12805.499</v>
      </c>
    </row>
    <row r="19" spans="1:8" ht="21.75" customHeight="1">
      <c r="A19" s="7">
        <v>4</v>
      </c>
      <c r="B19" s="8" t="s">
        <v>53</v>
      </c>
      <c r="C19" s="22">
        <f>3623+1344</f>
        <v>4967</v>
      </c>
      <c r="D19" s="22">
        <v>1677</v>
      </c>
      <c r="E19" s="54">
        <f t="shared" si="0"/>
        <v>33.762834709079925</v>
      </c>
      <c r="F19" s="54">
        <f>D19/1783%</f>
        <v>94.05496354458778</v>
      </c>
      <c r="H19" s="22">
        <v>614</v>
      </c>
    </row>
    <row r="20" spans="1:8" ht="21.75" customHeight="1">
      <c r="A20" s="7">
        <v>5</v>
      </c>
      <c r="B20" s="8" t="s">
        <v>54</v>
      </c>
      <c r="C20" s="22"/>
      <c r="D20" s="22"/>
      <c r="E20" s="54"/>
      <c r="F20" s="54"/>
      <c r="H20" s="22">
        <v>547</v>
      </c>
    </row>
    <row r="21" spans="1:8" ht="21.75" customHeight="1">
      <c r="A21" s="7">
        <v>6</v>
      </c>
      <c r="B21" s="8" t="s">
        <v>55</v>
      </c>
      <c r="C21" s="22">
        <v>340</v>
      </c>
      <c r="D21" s="22">
        <v>41</v>
      </c>
      <c r="E21" s="54">
        <f t="shared" si="0"/>
        <v>12.058823529411764</v>
      </c>
      <c r="F21" s="54">
        <f>D21/151%</f>
        <v>27.1523178807947</v>
      </c>
      <c r="H21" s="22">
        <v>71</v>
      </c>
    </row>
    <row r="22" spans="1:8" ht="21.75" customHeight="1">
      <c r="A22" s="7">
        <v>7</v>
      </c>
      <c r="B22" s="8" t="s">
        <v>56</v>
      </c>
      <c r="C22" s="22">
        <v>600</v>
      </c>
      <c r="D22" s="22">
        <v>5</v>
      </c>
      <c r="E22" s="54">
        <f t="shared" si="0"/>
        <v>0.8333333333333334</v>
      </c>
      <c r="F22" s="54">
        <f>D22/2%</f>
        <v>250</v>
      </c>
      <c r="H22" s="22">
        <v>340</v>
      </c>
    </row>
    <row r="23" spans="1:8" ht="21.75" customHeight="1">
      <c r="A23" s="7">
        <v>8</v>
      </c>
      <c r="B23" s="8" t="s">
        <v>57</v>
      </c>
      <c r="C23" s="22">
        <f>24270-14000</f>
        <v>10270</v>
      </c>
      <c r="D23" s="22">
        <v>28167</v>
      </c>
      <c r="E23" s="54">
        <f t="shared" si="0"/>
        <v>274.26484907497564</v>
      </c>
      <c r="F23" s="54">
        <f>D23/7784%</f>
        <v>361.85765673175746</v>
      </c>
      <c r="H23" s="22">
        <f>16458-3853</f>
        <v>12605</v>
      </c>
    </row>
    <row r="24" spans="1:8" ht="40.5" customHeight="1">
      <c r="A24" s="7">
        <v>9</v>
      </c>
      <c r="B24" s="8" t="s">
        <v>58</v>
      </c>
      <c r="C24" s="22">
        <f>108114+3063</f>
        <v>111177</v>
      </c>
      <c r="D24" s="22">
        <v>83601</v>
      </c>
      <c r="E24" s="54">
        <f t="shared" si="0"/>
        <v>75.19630858900672</v>
      </c>
      <c r="F24" s="54">
        <f>D24/76304%</f>
        <v>109.56306353533236</v>
      </c>
      <c r="H24" s="22">
        <v>26457</v>
      </c>
    </row>
    <row r="25" spans="1:8" ht="21.75" customHeight="1">
      <c r="A25" s="7">
        <v>10</v>
      </c>
      <c r="B25" s="8" t="s">
        <v>59</v>
      </c>
      <c r="C25" s="22">
        <f>10248-3818</f>
        <v>6430</v>
      </c>
      <c r="D25" s="22">
        <v>26183</v>
      </c>
      <c r="E25" s="54">
        <f t="shared" si="0"/>
        <v>407.20062208398133</v>
      </c>
      <c r="F25" s="54">
        <f>D25/7162%</f>
        <v>365.5822395978777</v>
      </c>
      <c r="H25" s="22">
        <v>6175</v>
      </c>
    </row>
    <row r="26" spans="1:8" ht="21.75" customHeight="1">
      <c r="A26" s="9" t="s">
        <v>24</v>
      </c>
      <c r="B26" s="10" t="s">
        <v>23</v>
      </c>
      <c r="C26" s="21">
        <v>7469</v>
      </c>
      <c r="D26" s="21">
        <v>2135</v>
      </c>
      <c r="E26" s="53">
        <f>+D26/C26%</f>
        <v>28.58481724461106</v>
      </c>
      <c r="F26" s="53">
        <f>D26/3701%</f>
        <v>57.68711159146177</v>
      </c>
      <c r="H26" s="21">
        <v>3853</v>
      </c>
    </row>
    <row r="27" spans="1:8" s="3" customFormat="1" ht="37.5" customHeight="1">
      <c r="A27" s="9" t="s">
        <v>9</v>
      </c>
      <c r="B27" s="10" t="s">
        <v>60</v>
      </c>
      <c r="C27" s="21">
        <f>+C28+C29+C30</f>
        <v>181367</v>
      </c>
      <c r="D27" s="21">
        <f>+D28+D29+D30</f>
        <v>125700</v>
      </c>
      <c r="E27" s="53">
        <f>+D27/C27%</f>
        <v>69.3069852839822</v>
      </c>
      <c r="F27" s="53">
        <f>D27/63769%</f>
        <v>197.11772177703898</v>
      </c>
      <c r="H27" s="21">
        <f>+H28+H29+H30</f>
        <v>7308.571</v>
      </c>
    </row>
    <row r="28" spans="1:8" ht="21.75" customHeight="1">
      <c r="A28" s="7">
        <v>1</v>
      </c>
      <c r="B28" s="8" t="s">
        <v>61</v>
      </c>
      <c r="C28" s="22">
        <v>127184</v>
      </c>
      <c r="D28" s="22">
        <v>104138</v>
      </c>
      <c r="E28" s="54">
        <f>+D28/C28%</f>
        <v>81.87979620077998</v>
      </c>
      <c r="F28" s="54">
        <f>D28/43047%</f>
        <v>241.9169744697656</v>
      </c>
      <c r="H28" s="22">
        <v>7308.571</v>
      </c>
    </row>
    <row r="29" spans="1:8" ht="25.5" customHeight="1">
      <c r="A29" s="7">
        <v>2</v>
      </c>
      <c r="B29" s="8" t="s">
        <v>69</v>
      </c>
      <c r="C29" s="22"/>
      <c r="D29" s="22">
        <v>0</v>
      </c>
      <c r="E29" s="54"/>
      <c r="F29" s="54"/>
      <c r="H29" s="22">
        <v>0</v>
      </c>
    </row>
    <row r="30" spans="1:8" ht="30.75" customHeight="1">
      <c r="A30" s="7">
        <v>3</v>
      </c>
      <c r="B30" s="8" t="s">
        <v>62</v>
      </c>
      <c r="C30" s="22">
        <v>54183</v>
      </c>
      <c r="D30" s="22">
        <v>21562</v>
      </c>
      <c r="E30" s="54">
        <f>+D30/C30%</f>
        <v>39.794769577173646</v>
      </c>
      <c r="F30" s="54">
        <f>D30/207422%</f>
        <v>10.395232906827628</v>
      </c>
      <c r="H30" s="22">
        <v>0</v>
      </c>
    </row>
    <row r="31" spans="1:8" ht="21.75" customHeight="1">
      <c r="A31" s="12"/>
      <c r="B31" s="12"/>
      <c r="C31" s="12"/>
      <c r="D31" s="12"/>
      <c r="E31" s="55"/>
      <c r="F31" s="55"/>
      <c r="H31" s="12"/>
    </row>
  </sheetData>
  <sheetProtection/>
  <mergeCells count="12">
    <mergeCell ref="E6:E7"/>
    <mergeCell ref="A5:A7"/>
    <mergeCell ref="B5:B7"/>
    <mergeCell ref="C5:C7"/>
    <mergeCell ref="D5:D7"/>
    <mergeCell ref="F6:F7"/>
    <mergeCell ref="H5:H7"/>
    <mergeCell ref="E1:F1"/>
    <mergeCell ref="A2:F2"/>
    <mergeCell ref="A3:F3"/>
    <mergeCell ref="E4:F4"/>
    <mergeCell ref="E5:F5"/>
  </mergeCells>
  <printOptions/>
  <pageMargins left="0.51" right="0.42" top="0.57" bottom="0.68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ismail - [2010]</cp:lastModifiedBy>
  <cp:lastPrinted>2021-11-09T09:45:48Z</cp:lastPrinted>
  <dcterms:created xsi:type="dcterms:W3CDTF">1996-10-14T23:33:28Z</dcterms:created>
  <dcterms:modified xsi:type="dcterms:W3CDTF">2021-11-23T09:09:21Z</dcterms:modified>
  <cp:category/>
  <cp:version/>
  <cp:contentType/>
  <cp:contentStatus/>
</cp:coreProperties>
</file>