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ĐND XÃ\AA NĂM 2026\đăng nghị quyết\"/>
    </mc:Choice>
  </mc:AlternateContent>
  <bookViews>
    <workbookView xWindow="0" yWindow="0" windowWidth="23040" windowHeight="9072" tabRatio="638" firstSheet="19" activeTab="19"/>
  </bookViews>
  <sheets>
    <sheet name="foxz" sheetId="7" state="veryHidden" r:id="rId1"/>
    <sheet name="DM Đề xuất CT ĐT" sheetId="1" state="hidden" r:id="rId2"/>
    <sheet name="Chart1" sheetId="8" state="hidden" r:id="rId3"/>
    <sheet name="DM 19 công trình" sheetId="6" state="hidden" r:id="rId4"/>
    <sheet name="Không sử dụng biểu này" sheetId="2" state="hidden" r:id="rId5"/>
    <sheet name="DA ĐÃ CÓ CHỦ TRƯƠNG" sheetId="11" state="hidden" r:id="rId6"/>
    <sheet name="DA CHƯA CÓ CHỦ TRƯƠNG (Bình làm" sheetId="9" state="hidden" r:id="rId7"/>
    <sheet name="1. DA KHỞI CÔNG MỚI 3-2023" sheetId="14" state="hidden" r:id="rId8"/>
    <sheet name="DM ĐX DA khởi công mới 2021 " sheetId="12" state="hidden" r:id="rId9"/>
    <sheet name="DM ĐX Điều chỉnh BS 2021" sheetId="13" state="hidden" r:id="rId10"/>
    <sheet name="2. DỰ ÁN ĐIỀU CHỈNH 3-2023" sheetId="3" state="hidden" r:id="rId11"/>
    <sheet name="DỰ ÁN XD MỚI" sheetId="24" state="hidden" r:id="rId12"/>
    <sheet name="DA KCM 12-2022" sheetId="16" state="hidden" r:id="rId13"/>
    <sheet name="Sheet1" sheetId="15" state="hidden" r:id="rId14"/>
    <sheet name="Kangatang" sheetId="29" state="veryHidden" r:id="rId15"/>
    <sheet name="Kangatang_2" sheetId="30" state="veryHidden" r:id="rId16"/>
    <sheet name="Kangatang_3" sheetId="31" state="veryHidden" r:id="rId17"/>
    <sheet name="Kangatang_4" sheetId="32" state="veryHidden" r:id="rId18"/>
    <sheet name="Kangatang_5" sheetId="33" state="veryHidden" r:id="rId19"/>
    <sheet name="DỰ ÁN ĐỀ XUẤT MỚI T6-2026" sheetId="28" r:id="rId20"/>
    <sheet name="DỰ ÁN ĐIỀU CHỈNH" sheetId="25" state="hidden" r:id="rId21"/>
    <sheet name="3, DỰ ÁN ĐỀ XUẤT DỪNG, CHẤM DỨT" sheetId="18" state="hidden" r:id="rId22"/>
  </sheets>
  <definedNames>
    <definedName name="_xlnm._FilterDatabase" localSheetId="3" hidden="1">'DM 19 công trình'!$H$6:$H$30</definedName>
    <definedName name="_xlnm.Print_Area" localSheetId="7">'1. DA KHỞI CÔNG MỚI 3-2023'!$A$1:$P$24</definedName>
    <definedName name="_xlnm.Print_Area" localSheetId="10">'2. DỰ ÁN ĐIỀU CHỈNH 3-2023'!$A$1:$K$9</definedName>
    <definedName name="_xlnm.Print_Area" localSheetId="6">'DA CHƯA CÓ CHỦ TRƯƠNG (Bình làm'!$A$1:$M$66</definedName>
    <definedName name="_xlnm.Print_Area" localSheetId="5">'DA ĐÃ CÓ CHỦ TRƯƠNG'!$A$1:$M$98</definedName>
    <definedName name="_xlnm.Print_Area" localSheetId="12">'DA KCM 12-2022'!$A$1:$J$13</definedName>
    <definedName name="_xlnm.Print_Area" localSheetId="8">'DM ĐX DA khởi công mới 2021 '!$A$1:$H$68</definedName>
    <definedName name="_xlnm.Print_Area" localSheetId="9">'DM ĐX Điều chỉnh BS 2021'!$A$1:$J$21</definedName>
    <definedName name="_xlnm.Print_Area" localSheetId="19">'DỰ ÁN ĐỀ XUẤT MỚI T6-2026'!$A$1:$K$11</definedName>
    <definedName name="_xlnm.Print_Area" localSheetId="11">'DỰ ÁN XD MỚI'!$A$1:$J$9</definedName>
    <definedName name="_xlnm.Print_Titles" localSheetId="7">'1. DA KHỞI CÔNG MỚI 3-2023'!$3:$6</definedName>
    <definedName name="_xlnm.Print_Titles" localSheetId="10">'2. DỰ ÁN ĐIỀU CHỈNH 3-2023'!$3:$3</definedName>
    <definedName name="_xlnm.Print_Titles" localSheetId="6">'DA CHƯA CÓ CHỦ TRƯƠNG (Bình làm'!$8:$9</definedName>
    <definedName name="_xlnm.Print_Titles" localSheetId="5">'DA ĐÃ CÓ CHỦ TRƯƠNG'!$8:$9</definedName>
    <definedName name="_xlnm.Print_Titles" localSheetId="12">'DA KCM 12-2022'!$4:$5</definedName>
    <definedName name="_xlnm.Print_Titles" localSheetId="3">'DM 19 công trình'!$3:$3</definedName>
    <definedName name="_xlnm.Print_Titles" localSheetId="1">'DM Đề xuất CT ĐT'!$4:$4</definedName>
    <definedName name="_xlnm.Print_Titles" localSheetId="8">'DM ĐX DA khởi công mới 2021 '!$7:$8</definedName>
    <definedName name="_xlnm.Print_Titles" localSheetId="9">'DM ĐX Điều chỉnh BS 2021'!$7:$8</definedName>
    <definedName name="_xlnm.Print_Titles" localSheetId="19">'DỰ ÁN ĐỀ XUẤT MỚI T6-2026'!$5:$8</definedName>
    <definedName name="_xlnm.Print_Titles" localSheetId="20">'DỰ ÁN ĐIỀU CHỈNH'!$3:$3</definedName>
    <definedName name="_xlnm.Print_Titles" localSheetId="11">'DỰ ÁN XD MỚI'!$3:$5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28" l="1"/>
  <c r="H4" i="25" l="1"/>
  <c r="H5" i="25" l="1"/>
  <c r="G5" i="25"/>
  <c r="C9" i="24" l="1"/>
  <c r="E17" i="14" l="1"/>
  <c r="K16" i="14"/>
  <c r="K15" i="14"/>
  <c r="K14" i="14"/>
  <c r="K12" i="14"/>
  <c r="S14" i="14"/>
  <c r="F13" i="14"/>
  <c r="J13" i="14" s="1"/>
  <c r="S13" i="14" s="1"/>
  <c r="K13" i="14"/>
  <c r="K11" i="14"/>
  <c r="S12" i="14"/>
  <c r="F9" i="3"/>
  <c r="J7" i="14"/>
  <c r="F11" i="14"/>
  <c r="S11" i="14" s="1"/>
  <c r="F12" i="14"/>
  <c r="J12" i="14" s="1"/>
  <c r="F14" i="14"/>
  <c r="J14" i="14" s="1"/>
  <c r="F16" i="14"/>
  <c r="J16" i="14" s="1"/>
  <c r="F15" i="14"/>
  <c r="E7" i="14"/>
  <c r="G6" i="3"/>
  <c r="G5" i="3"/>
  <c r="E12" i="16"/>
  <c r="E11" i="16"/>
  <c r="E9" i="16"/>
  <c r="E6" i="16" s="1"/>
  <c r="E21" i="15"/>
  <c r="E16" i="15" s="1"/>
  <c r="E15" i="15"/>
  <c r="E14" i="15"/>
  <c r="E12" i="15"/>
  <c r="E11" i="15"/>
  <c r="E10" i="15"/>
  <c r="E9" i="15"/>
  <c r="E8" i="15"/>
  <c r="E7" i="15"/>
  <c r="E26" i="12"/>
  <c r="B8" i="13"/>
  <c r="C8" i="13" s="1"/>
  <c r="D8" i="13" s="1"/>
  <c r="E8" i="13" s="1"/>
  <c r="F8" i="13" s="1"/>
  <c r="G8" i="13" s="1"/>
  <c r="H8" i="13" s="1"/>
  <c r="E24" i="12"/>
  <c r="M25" i="12"/>
  <c r="E25" i="12" s="1"/>
  <c r="M24" i="12"/>
  <c r="E59" i="12"/>
  <c r="E57" i="12"/>
  <c r="E55" i="12"/>
  <c r="E53" i="12"/>
  <c r="E52" i="12"/>
  <c r="E51" i="12"/>
  <c r="E49" i="12"/>
  <c r="E48" i="12"/>
  <c r="E47" i="12"/>
  <c r="E46" i="12"/>
  <c r="E36" i="12"/>
  <c r="E40" i="12"/>
  <c r="E39" i="12"/>
  <c r="E38" i="12"/>
  <c r="E37" i="12"/>
  <c r="E20" i="12"/>
  <c r="E18" i="12"/>
  <c r="E17" i="12"/>
  <c r="E16" i="12"/>
  <c r="A17" i="12"/>
  <c r="G18" i="13"/>
  <c r="G19" i="13"/>
  <c r="G20" i="13"/>
  <c r="G16" i="13"/>
  <c r="A17" i="13"/>
  <c r="A18" i="13" s="1"/>
  <c r="A19" i="13" s="1"/>
  <c r="E29" i="12"/>
  <c r="E27" i="12"/>
  <c r="E23" i="12"/>
  <c r="E21" i="12"/>
  <c r="L57" i="9"/>
  <c r="C44" i="12"/>
  <c r="E44" i="12" s="1"/>
  <c r="C42" i="12"/>
  <c r="E42" i="12" s="1"/>
  <c r="I34" i="11"/>
  <c r="K86" i="11"/>
  <c r="K87" i="11"/>
  <c r="K85" i="11"/>
  <c r="D42" i="9"/>
  <c r="K60" i="11"/>
  <c r="J18" i="9"/>
  <c r="A18" i="9"/>
  <c r="A19" i="9" s="1"/>
  <c r="A20" i="9" s="1"/>
  <c r="A21" i="11"/>
  <c r="A22" i="11" s="1"/>
  <c r="A26" i="11" s="1"/>
  <c r="A28" i="11" s="1"/>
  <c r="A30" i="11" s="1"/>
  <c r="I26" i="11"/>
  <c r="K26" i="11" s="1"/>
  <c r="I22" i="11"/>
  <c r="K22" i="11" s="1"/>
  <c r="I21" i="11"/>
  <c r="K21" i="11" s="1"/>
  <c r="I17" i="11"/>
  <c r="K17" i="11" s="1"/>
  <c r="J90" i="11"/>
  <c r="K83" i="11"/>
  <c r="K81" i="11"/>
  <c r="K80" i="11"/>
  <c r="K79" i="11"/>
  <c r="K78" i="11"/>
  <c r="K77" i="11"/>
  <c r="K76" i="11"/>
  <c r="K75" i="11"/>
  <c r="K73" i="11"/>
  <c r="K72" i="11"/>
  <c r="K71" i="11"/>
  <c r="I69" i="11"/>
  <c r="K69" i="11" s="1"/>
  <c r="I68" i="11"/>
  <c r="K68" i="11" s="1"/>
  <c r="K67" i="11"/>
  <c r="K66" i="11"/>
  <c r="I65" i="11"/>
  <c r="K65" i="11" s="1"/>
  <c r="I63" i="11"/>
  <c r="K62" i="11"/>
  <c r="K57" i="11"/>
  <c r="K55" i="11"/>
  <c r="K53" i="11"/>
  <c r="I50" i="11"/>
  <c r="K50" i="11" s="1"/>
  <c r="I48" i="11"/>
  <c r="K48" i="11" s="1"/>
  <c r="I44" i="11"/>
  <c r="K44" i="11" s="1"/>
  <c r="I38" i="11"/>
  <c r="K38" i="11" s="1"/>
  <c r="K36" i="11"/>
  <c r="K32" i="11"/>
  <c r="K31" i="11"/>
  <c r="K30" i="11"/>
  <c r="I28" i="11"/>
  <c r="K28" i="11" s="1"/>
  <c r="K14" i="11"/>
  <c r="I14" i="11"/>
  <c r="K13" i="11"/>
  <c r="I13" i="11"/>
  <c r="K12" i="11"/>
  <c r="I12" i="11"/>
  <c r="L47" i="9"/>
  <c r="I58" i="9"/>
  <c r="L55" i="9"/>
  <c r="L53" i="9"/>
  <c r="L46" i="9"/>
  <c r="L45" i="9"/>
  <c r="L44" i="9"/>
  <c r="L51" i="9"/>
  <c r="L50" i="9"/>
  <c r="L49" i="9"/>
  <c r="L42" i="9"/>
  <c r="J29" i="9"/>
  <c r="L29" i="9" s="1"/>
  <c r="L40" i="9"/>
  <c r="D40" i="9"/>
  <c r="J19" i="9"/>
  <c r="L19" i="9" s="1"/>
  <c r="J17" i="9"/>
  <c r="L17" i="9" s="1"/>
  <c r="J30" i="9"/>
  <c r="L30" i="9" s="1"/>
  <c r="J26" i="9"/>
  <c r="L26" i="9" s="1"/>
  <c r="J25" i="9"/>
  <c r="L25" i="9" s="1"/>
  <c r="J24" i="9"/>
  <c r="L24" i="9" s="1"/>
  <c r="J21" i="9"/>
  <c r="L21" i="9" s="1"/>
  <c r="J31" i="9"/>
  <c r="L31" i="9" s="1"/>
  <c r="L35" i="9"/>
  <c r="L36" i="9"/>
  <c r="L37" i="9"/>
  <c r="L38" i="9"/>
  <c r="L34" i="9"/>
  <c r="K58" i="9"/>
  <c r="L14" i="9"/>
  <c r="J14" i="9"/>
  <c r="J23" i="9"/>
  <c r="L23" i="9" s="1"/>
  <c r="J22" i="9"/>
  <c r="L22" i="9" s="1"/>
  <c r="J27" i="9"/>
  <c r="L27" i="9" s="1"/>
  <c r="J20" i="9"/>
  <c r="L20" i="9" s="1"/>
  <c r="L13" i="9"/>
  <c r="L12" i="9"/>
  <c r="J13" i="9"/>
  <c r="J12" i="9"/>
  <c r="D32" i="2"/>
  <c r="H32" i="2" s="1"/>
  <c r="D30" i="2"/>
  <c r="H30" i="2" s="1"/>
  <c r="D28" i="2"/>
  <c r="H28" i="2" s="1"/>
  <c r="D26" i="2"/>
  <c r="H26" i="2" s="1"/>
  <c r="D23" i="2"/>
  <c r="H23" i="2" s="1"/>
  <c r="D21" i="2"/>
  <c r="H21" i="2" s="1"/>
  <c r="D17" i="2"/>
  <c r="H17" i="2" s="1"/>
  <c r="D15" i="2"/>
  <c r="H15" i="2" s="1"/>
  <c r="D9" i="2"/>
  <c r="H9" i="2" s="1"/>
  <c r="D7" i="2"/>
  <c r="H7" i="2" s="1"/>
  <c r="D4" i="2"/>
  <c r="E16" i="2"/>
  <c r="F10" i="2"/>
  <c r="F11" i="2"/>
  <c r="F12" i="2"/>
  <c r="F13" i="2"/>
  <c r="F14" i="2"/>
  <c r="C33" i="2"/>
  <c r="E33" i="2" s="1"/>
  <c r="C31" i="2"/>
  <c r="E31" i="2" s="1"/>
  <c r="C29" i="2"/>
  <c r="E29" i="2" s="1"/>
  <c r="C27" i="2"/>
  <c r="E27" i="2" s="1"/>
  <c r="C24" i="2"/>
  <c r="E24" i="2" s="1"/>
  <c r="C25" i="2"/>
  <c r="E25" i="2" s="1"/>
  <c r="C22" i="2"/>
  <c r="E22" i="2" s="1"/>
  <c r="C18" i="2"/>
  <c r="E18" i="2" s="1"/>
  <c r="C19" i="2"/>
  <c r="E19" i="2" s="1"/>
  <c r="C20" i="2"/>
  <c r="E20" i="2" s="1"/>
  <c r="C10" i="2"/>
  <c r="E10" i="2" s="1"/>
  <c r="C11" i="2"/>
  <c r="E11" i="2" s="1"/>
  <c r="C12" i="2"/>
  <c r="E12" i="2" s="1"/>
  <c r="C13" i="2"/>
  <c r="E13" i="2" s="1"/>
  <c r="C14" i="2"/>
  <c r="E14" i="2" s="1"/>
  <c r="C8" i="2"/>
  <c r="E8" i="2" s="1"/>
  <c r="B5" i="2"/>
  <c r="B33" i="2"/>
  <c r="B31" i="2"/>
  <c r="B29" i="2"/>
  <c r="B27" i="2"/>
  <c r="B25" i="2"/>
  <c r="B24" i="2"/>
  <c r="B22" i="2"/>
  <c r="B20" i="2"/>
  <c r="B19" i="2"/>
  <c r="B18" i="2"/>
  <c r="B14" i="2"/>
  <c r="B13" i="2"/>
  <c r="B12" i="2"/>
  <c r="B11" i="2"/>
  <c r="B10" i="2"/>
  <c r="B8" i="2"/>
  <c r="B6" i="2"/>
  <c r="G34" i="2"/>
  <c r="C9" i="2"/>
  <c r="C7" i="2"/>
  <c r="C21" i="2"/>
  <c r="C23" i="2"/>
  <c r="C28" i="2"/>
  <c r="C30" i="2"/>
  <c r="C32" i="2"/>
  <c r="A7" i="2"/>
  <c r="A9" i="2" s="1"/>
  <c r="A15" i="2" s="1"/>
  <c r="A17" i="2" s="1"/>
  <c r="A21" i="2" s="1"/>
  <c r="A23" i="2" s="1"/>
  <c r="A26" i="2" s="1"/>
  <c r="A28" i="2" s="1"/>
  <c r="A30" i="2" s="1"/>
  <c r="A32" i="2" s="1"/>
  <c r="Q27" i="6"/>
  <c r="Q28" i="6" s="1"/>
  <c r="C26" i="2"/>
  <c r="C17" i="2"/>
  <c r="H14" i="6"/>
  <c r="H11" i="6"/>
  <c r="H6" i="6"/>
  <c r="D5" i="6"/>
  <c r="D6" i="6" s="1"/>
  <c r="C6" i="2" s="1"/>
  <c r="E6" i="2" s="1"/>
  <c r="C4" i="6"/>
  <c r="F4" i="6" s="1"/>
  <c r="H4" i="6" s="1"/>
  <c r="I4" i="6" s="1"/>
  <c r="A6" i="6"/>
  <c r="A7" i="6" s="1"/>
  <c r="A8" i="6" s="1"/>
  <c r="A9" i="6" s="1"/>
  <c r="A10" i="6" s="1"/>
  <c r="A11" i="6" s="1"/>
  <c r="A12" i="6" s="1"/>
  <c r="A13" i="6" s="1"/>
  <c r="A14" i="6" s="1"/>
  <c r="A15" i="6" s="1"/>
  <c r="A17" i="6" s="1"/>
  <c r="A18" i="6" s="1"/>
  <c r="A19" i="6" s="1"/>
  <c r="A20" i="6" s="1"/>
  <c r="A21" i="6" s="1"/>
  <c r="A22" i="6" s="1"/>
  <c r="E10" i="14"/>
  <c r="J15" i="14"/>
  <c r="E10" i="16" l="1"/>
  <c r="E13" i="16" s="1"/>
  <c r="C4" i="2"/>
  <c r="C34" i="2" s="1"/>
  <c r="E6" i="15"/>
  <c r="E13" i="15"/>
  <c r="G9" i="3"/>
  <c r="J11" i="14"/>
  <c r="J10" i="14" s="1"/>
  <c r="F34" i="2"/>
  <c r="K17" i="14"/>
  <c r="J58" i="9"/>
  <c r="D24" i="6"/>
  <c r="D34" i="2"/>
  <c r="H34" i="2" s="1"/>
  <c r="A34" i="11"/>
  <c r="A35" i="11" s="1"/>
  <c r="A20" i="13"/>
  <c r="A21" i="13" s="1"/>
  <c r="C5" i="2"/>
  <c r="E5" i="2" s="1"/>
  <c r="L18" i="9"/>
  <c r="L58" i="9" s="1"/>
  <c r="F10" i="14"/>
  <c r="H4" i="2"/>
  <c r="J17" i="14"/>
  <c r="F17" i="14"/>
  <c r="A21" i="9"/>
  <c r="A18" i="12"/>
  <c r="E24" i="15" l="1"/>
  <c r="A20" i="12"/>
  <c r="A22" i="9"/>
  <c r="A37" i="11"/>
  <c r="A39" i="11" l="1"/>
  <c r="A23" i="9"/>
  <c r="A24" i="9" s="1"/>
  <c r="A21" i="12"/>
  <c r="A22" i="12" l="1"/>
  <c r="A23" i="12" s="1"/>
  <c r="A25" i="9"/>
  <c r="A40" i="11"/>
  <c r="A41" i="11" s="1"/>
  <c r="A26" i="9" l="1"/>
  <c r="A42" i="11"/>
  <c r="A24" i="12"/>
  <c r="A43" i="11" l="1"/>
  <c r="A45" i="11" s="1"/>
  <c r="A46" i="11" s="1"/>
  <c r="A27" i="9"/>
  <c r="A29" i="9" s="1"/>
  <c r="A30" i="9" s="1"/>
  <c r="A25" i="12"/>
  <c r="A26" i="12" s="1"/>
  <c r="A31" i="9" l="1"/>
  <c r="A34" i="9" s="1"/>
  <c r="A35" i="9" s="1"/>
  <c r="A36" i="9" s="1"/>
  <c r="A37" i="9" s="1"/>
  <c r="A38" i="9" s="1"/>
  <c r="A40" i="9" s="1"/>
  <c r="A42" i="9" s="1"/>
  <c r="A44" i="9" s="1"/>
  <c r="A45" i="9" s="1"/>
  <c r="A46" i="9" s="1"/>
  <c r="A47" i="9" s="1"/>
  <c r="A49" i="9" s="1"/>
  <c r="A50" i="9" s="1"/>
  <c r="A51" i="9" s="1"/>
  <c r="A53" i="9" s="1"/>
  <c r="A55" i="9" s="1"/>
  <c r="A57" i="9" s="1"/>
  <c r="A47" i="11"/>
  <c r="A49" i="11" s="1"/>
  <c r="A27" i="12"/>
  <c r="A28" i="12" s="1"/>
  <c r="A29" i="12" l="1"/>
  <c r="A31" i="12" s="1"/>
  <c r="A32" i="12" s="1"/>
  <c r="A33" i="12" s="1"/>
  <c r="A36" i="12" s="1"/>
  <c r="A37" i="12" s="1"/>
  <c r="A38" i="12" s="1"/>
  <c r="A39" i="12" s="1"/>
  <c r="A40" i="12" s="1"/>
  <c r="A51" i="11"/>
  <c r="A52" i="11" s="1"/>
  <c r="A54" i="11" s="1"/>
  <c r="A56" i="11" s="1"/>
  <c r="A58" i="11" s="1"/>
  <c r="A60" i="11" s="1"/>
  <c r="A62" i="11" s="1"/>
  <c r="A63" i="11" s="1"/>
  <c r="A65" i="11" s="1"/>
  <c r="A66" i="11" s="1"/>
  <c r="A67" i="11" s="1"/>
  <c r="A68" i="11" s="1"/>
  <c r="A69" i="11" s="1"/>
  <c r="A71" i="11" s="1"/>
  <c r="A72" i="11" s="1"/>
  <c r="A73" i="11" s="1"/>
  <c r="A75" i="11" s="1"/>
  <c r="A76" i="11" s="1"/>
  <c r="A77" i="11" s="1"/>
  <c r="A78" i="11" s="1"/>
  <c r="A79" i="11" s="1"/>
  <c r="A80" i="11" s="1"/>
  <c r="A81" i="11" s="1"/>
  <c r="A83" i="11" s="1"/>
  <c r="A85" i="11" s="1"/>
  <c r="A86" i="11" s="1"/>
  <c r="A87" i="11" s="1"/>
  <c r="A88" i="11" s="1"/>
  <c r="A89" i="11" s="1"/>
  <c r="A42" i="12" l="1"/>
  <c r="A44" i="12" s="1"/>
  <c r="A46" i="12" s="1"/>
  <c r="A47" i="12" s="1"/>
  <c r="A48" i="12" l="1"/>
  <c r="A49" i="12" s="1"/>
  <c r="A51" i="12" s="1"/>
  <c r="A52" i="12" s="1"/>
  <c r="A53" i="12" s="1"/>
  <c r="A55" i="12" s="1"/>
  <c r="A57" i="12" s="1"/>
  <c r="A59" i="12" s="1"/>
</calcChain>
</file>

<file path=xl/sharedStrings.xml><?xml version="1.0" encoding="utf-8"?>
<sst xmlns="http://schemas.openxmlformats.org/spreadsheetml/2006/main" count="1615" uniqueCount="793">
  <si>
    <t>TT</t>
  </si>
  <si>
    <t>Hạ tầng kỹ thuật khu dân cư phố Trung Sơn, thị trấn Bút Sơn, huyện Hoằng Hóa (Mặt bằng số 01).</t>
  </si>
  <si>
    <t>Hạ tầng kỹ thuật khu dân cư phố Trung Sơn, thị trấn Bút Sơn, huyện Hoằng Hóa (Mặt bằng số 02)</t>
  </si>
  <si>
    <t>Hạ tầng kỹ thuật khu dân cư thôn 1 xã Hoằng Thịnh, huyện Hoằng Hóa (Mặt bằng số 03).</t>
  </si>
  <si>
    <t>Hạ tầng kỹ thuật khu dân cư thôn 1, thôn 2 xã Hoằng Thịnh, và thôn 4 xã Hoằng Thái, huyện Hoằng Hóa (Mặt bằng số 04).</t>
  </si>
  <si>
    <t>Hạ tầng kỹ thuật khu dân cư thôn 6, xã Hoằng Thịnh, huyện Hoằng Hóa (Mặt bằng số 05).</t>
  </si>
  <si>
    <t>Hạ tầng kỹ thuật khu dân cư thôn 6, xã Hoằng Thành, huyện Hoằng Hóa (Mặt bằng số 06).</t>
  </si>
  <si>
    <t>Hạ tầng kỹ thuật khu dân cư thôn 12, xã Hoằng Thắng, huyện Hoằng Hóa (Mặt bằng số 07).</t>
  </si>
  <si>
    <t>Hạ tầng kỹ thuật khu dân cư  thôn Phượng Ngô 2, xã Hoằng Lưu, huyện Hoằng Hóa (Mặt bằng số 08).</t>
  </si>
  <si>
    <t>Hạ tầng kỹ thuật khu dân cư  thôn Phượng Ngô 2, xã Hoằng Lưu, huyện Hoằng Hóa (Mặt bằng số 09).</t>
  </si>
  <si>
    <t>Hạ tầng kỹ thuật khu dân cư thôn 8 xã Hoằng Thành, huyện Hoằng Hóa (Mặt bằng số 10).</t>
  </si>
  <si>
    <t>Hạ tầng kỹ thuật khu dân cư thôn 8 xã Hoằng Thành (Mặt bằng 11).</t>
  </si>
  <si>
    <t>Hạ tầng kỹ thuật khu dân cư thôn Tiền Thôn 1 xã Hoằng Tiến (Mặt bằng số 12 và Mặt bằng số 13).</t>
  </si>
  <si>
    <t>Hạ tầng kỹ thuật khu dân cư xã Hoằng Đồng (tiếp giáp TDA2), huyện Hoằng Hóa (Mặt bằng số 14).</t>
  </si>
  <si>
    <t>Hạ tầng kỹ thuật khu dân cư thôn 4, thôn 5, xã Hoằng Thịnh, huyện Hoằng Hóa (Mặt bằng số 15).</t>
  </si>
  <si>
    <t>Hạ tầng kỹ thuật khu dân cư thôn 9, xã Hoằng Thịnh, huyện Hoằng Hóa (Mặt bằng số 16).</t>
  </si>
  <si>
    <t>Hạ tầng kỹ thuật khu dân cư thôn 5, thôn 6, thôn 7, xã Hoằng Kim, huyện Hoằng Hóa (Mặt bằng số 17).</t>
  </si>
  <si>
    <t>Hạ tầng kỹ thuật khu dân cư thôn Trinh Nga, xã Hoằng Trinh, huyện Hoằng Hóa (Mặt bằng số 18).</t>
  </si>
  <si>
    <t>Hạ tầng kỹ thuật khu dân cư thôn Lương Quán, xã Hoằng Lương, huyện Hoằng Hóa (Mặt bằng số 19)</t>
  </si>
  <si>
    <t>TỔNG CỘNG</t>
  </si>
  <si>
    <t>Tên dự án</t>
  </si>
  <si>
    <t>Xây dựng đường điện chiếu sáng tuyến đường từ Ngã tư Gòng đi Ngã tư Quăng xã Hoằng Lộc, huyện Hoằng Hóa.</t>
  </si>
  <si>
    <t>Trồng cây xanh dải phân cách tuyến đường giao thông từ Ngã tư Gòng đi Ngã tư Quăng xã Hoằng Lộc, huyện Hoằng Hóa.</t>
  </si>
  <si>
    <t>Xây dựng đường điện chiếu sáng công cộng tuyến đường đến khu du lịch Hải Tiến (đường 22), huyện Hoằng Hóa.</t>
  </si>
  <si>
    <t>Trồng cây xanh tuyến đường đến khu du lịch Hải Tiến (đường 22), huyện Hoằng Hóa.</t>
  </si>
  <si>
    <t>Nâng cấp, cải tạo nhà truyền thống huyện Hoằng Hóa.</t>
  </si>
  <si>
    <t xml:space="preserve">Số báo cáo </t>
  </si>
  <si>
    <t xml:space="preserve">Số tờ trình </t>
  </si>
  <si>
    <t>121/TTr-QLDA ngày 19/09/2019</t>
  </si>
  <si>
    <t>Số 120/TTr-QLDA ngày 19/09/2019</t>
  </si>
  <si>
    <t>Số 44/BC-QLDA ngày 19/09/2019</t>
  </si>
  <si>
    <t>122/TTr-QLDA ngày 19/09/2019</t>
  </si>
  <si>
    <t>123/TTr-QLDA ngày 19/09/2019</t>
  </si>
  <si>
    <t>124/TTr-QLDA ngày 19/09/2019</t>
  </si>
  <si>
    <t>125/TTr-QLDA ngày 19/09/2019</t>
  </si>
  <si>
    <t>126/TTr-QLDA ngày 19/09/2019</t>
  </si>
  <si>
    <t>127/TTr-QLDA ngày 19/09/2019</t>
  </si>
  <si>
    <t>128/TTr-QLDA ngày 19/09/2019</t>
  </si>
  <si>
    <t>Số 52/BC-QLDA ngày 19/09/2019</t>
  </si>
  <si>
    <t>Số 51/BC-QLDA ngày 19/09/2019</t>
  </si>
  <si>
    <t>Số 50/BC-QLDA ngày 19/09/2019</t>
  </si>
  <si>
    <t>Số 49/BC-QLDA ngày 19/09/2019</t>
  </si>
  <si>
    <t>Số 48/BC-QLDA ngày 19/09/2019</t>
  </si>
  <si>
    <t>Số 47/BC-QLDA ngày 19/09/2019</t>
  </si>
  <si>
    <t>Số 46/BC-QLDA ngày 19/09/2019</t>
  </si>
  <si>
    <t>Số 45/BC-QLDA ngày 19/09/2019</t>
  </si>
  <si>
    <t>Số 53/BC-QLDA ngày 19/09/2019</t>
  </si>
  <si>
    <t>129/TTr-QLDA ngày 19/09/2019</t>
  </si>
  <si>
    <t>Số 54/BC-QLDA ngày 19/09/2019</t>
  </si>
  <si>
    <t>130/TTr-QLDA ngày 19/09/2019</t>
  </si>
  <si>
    <t>131/TTr-QLDA ngày 19/09/2019</t>
  </si>
  <si>
    <t>Số 55/BC-QLDA ngày 19/09/2019</t>
  </si>
  <si>
    <t>Số 56/BC-QLDA ngày 19/09/2019</t>
  </si>
  <si>
    <t>132/TTr-QLDA ngày 19/09/2019</t>
  </si>
  <si>
    <t>133/TTr-QLDA ngày 19/09/2019</t>
  </si>
  <si>
    <t>Số 57/BC-QLDA ngày 19/09/2019</t>
  </si>
  <si>
    <t>Số 58/BC-QLDA ngày 19/09/2019</t>
  </si>
  <si>
    <t>134/TTr-QLDA ngày 19/09/2019</t>
  </si>
  <si>
    <t>Số 59/BC-QLDA ngày 19/09/2019</t>
  </si>
  <si>
    <t>135/TTr-QLDA ngày 19/09/2019</t>
  </si>
  <si>
    <t>Số 60/BC-QLDA ngày 19/09/2019</t>
  </si>
  <si>
    <t>136/TTr-QLDA ngày 19/09/2019</t>
  </si>
  <si>
    <t>Số 61/BC-QLDA ngày 19/09/2019</t>
  </si>
  <si>
    <t>137/TTr-QLDA ngày 19/09/2019</t>
  </si>
  <si>
    <t>Số 65/BC-QLDA ngày 27/09/2019</t>
  </si>
  <si>
    <t>141/TTr-QLDA ngày 27/09/2019</t>
  </si>
  <si>
    <t>Số 66/BC-QLDA ngày 27/09/2019</t>
  </si>
  <si>
    <t>142/TTr-QLDA ngày 27/09/2019</t>
  </si>
  <si>
    <t>143/TTr-QLDA ngày 27/09/2019</t>
  </si>
  <si>
    <t>Số 67/BC-QLDA ngày 27/09/2019</t>
  </si>
  <si>
    <t>144/TTr-QLDA ngày 27/09/2019</t>
  </si>
  <si>
    <t>Số 68/BC-QLDA ngày 27/09/2019</t>
  </si>
  <si>
    <t>Số 69/BC-QLDA ngày 27/09/2019</t>
  </si>
  <si>
    <t>145/TTr-QLDA ngày 27/09/2019</t>
  </si>
  <si>
    <t>Nâng cấp, mở rộng tuyến đường Thịnh-Đông, huyện Hoằng Hóa (Giai đoạn 1)</t>
  </si>
  <si>
    <t>Số 62/BC-QLDA ngày 19/09/2019</t>
  </si>
  <si>
    <t>138/TTr-QLDA ngày 19/09/2019</t>
  </si>
  <si>
    <t>Đầu tư xây dựng các khu tái định cư ở các xã Hoằng Tiến và Hoằng Ngọc để thực hiện dự án Nâng cấp, cải tạo đường từ Quốc lộ 1A đi khu du lịch Hải Tiến, huyện Hoằng Hóa (Giai đoạn 2)</t>
  </si>
  <si>
    <t>Số 64/BC-QLDA ngày 23/09/2019</t>
  </si>
  <si>
    <t>139b/TTr-QLDA ngày 23/09/2019</t>
  </si>
  <si>
    <t xml:space="preserve">                    DANH MỤC TỜ TRÌNH + BCĐX CHỦ TRƯƠNG CÁC CÔNG TRÌNH THEO NGHỊ QUYẾT SỐ……../NQ-HĐND ngày …../……/2019</t>
  </si>
  <si>
    <t>Sữa chữa, cải tạo phòng tiếp khách cơ quan Huyện ủy Hoằng Hóa</t>
  </si>
  <si>
    <t>Số 70/BC-QLDA ngày 27/09/2019</t>
  </si>
  <si>
    <t xml:space="preserve">Sữa chữa, cải tạo, mua sắm một số hạng mục cơ quan Huyện ủy </t>
  </si>
  <si>
    <t>Số 71/BC-QLDA ngày 27/09/2019</t>
  </si>
  <si>
    <t>146/TTr-QLDA ngày 27/09/2019</t>
  </si>
  <si>
    <t>147/TTr-QLDA ngày 27/09/2019</t>
  </si>
  <si>
    <t>Mục tiêu đầu tư</t>
  </si>
  <si>
    <t>Quy mô đầu tư</t>
  </si>
  <si>
    <t>Tổ chức bán đấu giá, tạo nguồn vốn đầu tư tuyến đường Thịnh Đông</t>
  </si>
  <si>
    <t>nt</t>
  </si>
  <si>
    <t xml:space="preserve">Diện tích quy hoạch 2,00 ha, gồm 5 khu biệt thự (khu I, M, N, L, O) và 2 khu liền kề (Khu K, khu P).
a. Giao thông nội bộ: Giao thông nội bộ bằng các tuyến đường nội vùng có Bm = 7,0 - 7,5m. Kết cấu mặt đường láng nhựa dày 3,5cm TCN 4,5Kg/m2. Chiều dày móng theo tính toán.
b. Vỉa hè, cây xanh: đầu tư vỉa hè và bó vỉa bằng đá xanh;
c. Hệ thống cấp nước: Sử dụng hệ thống cấp nước chung trong khu vực;
d. Hệ thống thoát nước: Đầu tư hệ thống rãnh thoát nước chạy dưới vỉa hè, các vị trí qua đường thiết kế rãnh chịu lực;
e. Hệ thống điện chiếu sáng và sinh hoạt: Toàn bộ hệ thống điện sinh hoạt đi ngầm dưới vỉa hè; hệ thống điện chiếu sáng dùng đèn LED 150W.
</t>
  </si>
  <si>
    <t xml:space="preserve">Diện tích quy hoạch 1,32ha.
a. Giao thông nội bộ: Hệ thống đường giao thông nội khu được xây dựng với dạng mặt cắt: Bm=10.5m; Vỉa hè: 3x2=6m
b. Vỉa hè, cây xanh: đầu tư vỉa hè và bó vỉa bằng đá xanh;
c. Hệ thống cấp nước: Sử dụng hệ thống cấp nước chung trong khu vực;
d. Hệ thống thoát nước: Thoát nước bằng mương xây nắp đan BTCT thoát nước theo các trục giao thông trong khu dân cư và thoát nước vào hệ thống thoát nước chung của khu vực;
e. Hệ thống điện chiếu sáng và sinh hoạt: Toàn bộ hệ thống điện sinh hoạt đi ngầm dưới vỉa hè; hệ thống điện chiếu sáng dùng đèn LED 150W.
</t>
  </si>
  <si>
    <t>Diện tích quy hoạch 0,159ha.
a. Giao thông nội bộ: Hệ thống đường giao thông nội khu được xây dựng với dạng mặt cắt Bm = 5,5m, vỉa hè 1,0m; mặt đường láng nhựa 4,5kg/m2; kết cấu phần móng đường theo tính toán.
c. Hệ thống cấp nước: Sử dụng hệ thống cấp nước chung trong khu vực;
d. Hệ thống thoát nước: Thoát nước bằng mương xây nắp đan BTCT thoát nước theo các trục giao thông trong khu dân cư và thoát nước vào hệ thống thoát nước chung của khu vực;
e. Hệ thống điện chiếu sáng và sinh hoạt: Toàn bộ hệ thống điện sinh hoạt đi ngầm dưới vỉa hè; hệ thống điện chiếu sáng dùng đèn LED 150W.</t>
  </si>
  <si>
    <t>Diện tích quy hoạch 1,20ha.
a. Giao thông nội bộ: Hệ thống đường giao thông nội khu được xây dựng với dạng mặt cắt Bm = 10,5m, vỉa hè 3x2=6,0m; mặt đường láng nhựa 4,5kg/m2; kết cấu phần móng đường theo tính toán.
b. Vỉa hè, cây xanh: đầu tư vỉa hè và bó vỉa bằng đá xanh;
c. Hệ thống cấp nước: Nguồn nước cấp nước cho khu vực lấy từ hệ thống cấp nước sạch hiện có;
d. Hệ thống thoát nước: Thoát nước bằng mương xây nắp đan BTCT thoát nước theo các trục giao thông trong khu dân cư và thoát nước vào hệ thống thoát nước chung của khu vực;
e. Hệ thống điện chiếu sáng và sinh hoạt: Toàn bộ hệ thống điện sinh hoạt đi ngầm dưới vỉa hè; hệ thống điện chiếu sáng dùng đèn LED 150W.</t>
  </si>
  <si>
    <t xml:space="preserve">Diện tích quy hoạch 2,63ha.
a. Giao thông nội bộ: Hệ thống đường giao thông nội khu được xây dựng với dạng mặt cắt: Mặt cắt 01; Bm =10,5m, Vỉa hè: 3x2=6m; Mặt cắt 02: Bm =7,5m Vỉa hè: 2,5x2=5m.
b. Hệ thống cấp nước: Sử dụng hệ thống cấp nước chung trong khu vực;
c. Hệ thống thoát nước: Sử dụng hệ thống thoát nước chung trong khu vực đã được đầu tư;
d. Hệ thống điện chiếu sáng và sinh hoạt: Toàn bộ hệ thống điện sinh hoạt đi ngầm dưới vỉa hè; hệ thống điện chiếu sáng dùng đèn Sodium LED 150W.
</t>
  </si>
  <si>
    <t xml:space="preserve">Diện tích quy hoạch 1,23ha.
a. Giao thông nội bộ: Hệ thống đường giao thông nội khu được xây dựng với dạng mặt cắt:: Bm =7,5m Vỉa hè: 1,5-2,5 m.
b. Hệ thống cấp nước: Sử dụng hệ thống cấp nước chung trong khu vực;
c. Hệ thống thoát nước: Sử dụng hệ thống thoát nước chung trong khu vực đã được đầu tư;
d. Hệ thống điện chiếu sáng và sinh hoạt: Toàn bộ hệ thống điện sinh hoạt đi ngầm dưới vỉa hè; hệ thống điện chiếu sáng dùng đèn Sodium LED 150W.
</t>
  </si>
  <si>
    <t xml:space="preserve">Diện tích quy hoạch 0,19 ha.
a. Quy hoạch giao thông: Hệ thống đường giao thông nội khu được xây dựng với dạng mặt cắt: Bm=7.5m, vỉa hè 2-:-3m.
b. Quy hoạch san nền: 
- Thiết kế san nền tuân thủ theo các cao độ khống chế của các tim trục đường, độ dốc, hướng dốc của khu vực, kết hợp xem xét các cao độ hiện trạng các tuyến đường để đảm bảo việc tôn nền đảm bảo tiêu thoát nước và không gây ảnh hưởng tới khu vực hiện trạng dân cư đang ổn định;
- Giải pháp thiết kế là san nền dốc từ lô đất ra các tuyến đường chạy bao quanh với độ dốc san nền nhỏ nhất là i=0.4-1.0%.
c. Quy hoạch hệ thống thoát nước: Hệ thống thoát nước bao gồm thoát nước mưa và thoát nước bẩn sinh hoạt đã được xử lý cục bộ trong các công trình và trong các hộ dân cư, hệ thống thoát nước bằng mương xây nắp đan BTCT thoát nước theo các trục giao thông trong khu dân cư và thoát nước vào hệ thống thoát nước chung trong khu vực;
d. Quy hoạch hệ thống cấp nước: 
- Nguồn nước cấp cho khu vực lấy từ hệ thống cấp nước sạch hiện có;
- Giải pháp mạng lưới được chọn là mạng cụt kết hợp mạng vòng cấp nước cho nhu cầu sinh hoạt, cứu hỏa và mọi nhu cầu khác;
e. Quy hoạch cấp điện:
Nguồn điện trung thế: Từ lưới trung thế trong khu vực.
- Điện hạ thế: Cấp điện sinh hoạt bằng đường dây 0.4kV cáp ngầm chôn trực tiếp trong đất từ hệ thống điện sẵn có của khu vực;
- Điện chiếu sáng: Các tuyến đường trong dân cư được chiếu sáng bằng đèn cao áp bóng Sodium công suất 250W-220V lắp trên cột thép bát giác 10m. Độ chói trung bình đạt 0.8-1.0 Cd/m2, khoảng cách trung bình giữa các cột là 30m. Khuyến khích nhà đầu tư sử dụng nguồn điện năng lượng mặt trời để thân thiện với môi trường và giảm tiêu thụ điện năng.
</t>
  </si>
  <si>
    <t xml:space="preserve">Diện tích quy hoạch 1,15ha.
a. Giao thông nội bộ: Hệ thống giao thông nội khu được xây dựng mặt cắt 01: Bm=10,5; Vỉa hè: 3m; mặt cắt 02: Bm=7,5; Vỉa hè 3m
b. Quy hoạch san nền: 
c. Hệ thống cấp nước: Sử dụng hệ thống cấp nước chung trong khu vực;
d. Hệ thống thoát nước: Gồm thoát nước mưa và nước thải sinh hoạt đã được xử lý, hệ thống thoát nước bằng mương xây nắp đan BTCT thoát nước theo các trục giao thông và hệ thống thoát nước chung
e. Hệ thống điện chiếu sáng và sinh hoạt: Toàn bộ hệ thống điện sinh hoạt đi ngầm dưới vỉa hè; hệ thống điện chiếu sáng bằng đèn cao áp công suất 250W
</t>
  </si>
  <si>
    <t xml:space="preserve">Diện tích quy hoạch 3,12ha.
a. Giao thông nội bộ: Hệ thống đường giao thông nội khu được xây dựng: Bm=10,5m; Vỉa hè: 3x2=6m;
b. Hệ thống cấp nước: Sử dụng hệ thống cấp nước chung trong khu vực;
d. Hệ thống thoát nước: Hệ thống thoát nước mưa, nước sinh hoạt bằng mương xây nắp đan BTCT và thoát vào hệ thống thoát nước chung trong khu vực đã được đầu tư;
e. Hệ thống điện chiếu sáng và sinh hoạt: Toàn bộ hệ thống điện sinh hoạt đi ngầm dưới vỉa hè; hệ thống điện chiếu sáng dùng đèn LED 150W
</t>
  </si>
  <si>
    <t xml:space="preserve">Tạo không gian đường phố thêm xanh tươi, thân thiện và giảm căng thẳng cho các phương tiện khi tham gia giao thông, góp phần thúc đẩy phát triển Kinh tế - xã hội của huyện.  </t>
  </si>
  <si>
    <t>Đầu tư trồng cây xanh dải phân cách giữa phù hợp cảnh quan đường phố, chiều dài đầu tư khoảng 3,5 Km.</t>
  </si>
  <si>
    <t xml:space="preserve">Đầu tư Hệ thống điện chiếu sáng tuyến đường giao thông từ Ngã tư Gòng đến Ngã tư Quăng, xã Hoằng Lộc, huyện Hoằng Hóa chiều dài 3,5 km với quy mô như sau:
+ Phần chiếu sáng đường: 
Xây dựng khoảng 3,5 km đường điện chiếu sáng đường trong đó:
- Cột đèn côn, cần lắp ghép, chiều cao đến đỉnh đèn là 9m;
- Đèn dùng loại đèn LED 150W-220V (đèn 3 mắt);
- Dây dẫn lên đèn Cu.XLPE 2x2.5mm;
- Cáp Cu/XLPE/PVC/DSTA 0,6/1kV- 3x25 + 1x16mm2 
      và Cu/XLPE/PVC/DSTA 0,6/1kV- 3x16 + 1x10mm2.
+ Phần trạm biến áp cấp điện cho chiếu sáng:
Xây dựng các trạm biến áp công suất 31,5kVA-10(22)/0,4kV.
</t>
  </si>
  <si>
    <t xml:space="preserve">Sơn sửa, cải tạo lại toàn bộ nhà ba tầng phía trước và phía sau.
- Cải tạo khu nhà ăn cũ thành phòng văn thư; phòng văn thư cũ thành phòng tiếp dân; cải tạo nhà để xe cũ và nhà kho phía sau thành nhà ăn.
- Bổ sung hệ thống chống sét và phòng cháy chữa cháy.
- Sửa chữa lại toàn bộ hệ thống điện và mạng LAN.
- Lắp đặt hệ thống camera an ninh.
- Mua sắm, sửa chữa và lắp đặt một số thiết bị phù hợp với yêu cầu công việc của cơ quan.
- Cải tạo lại khuôn viên cây xanh.
</t>
  </si>
  <si>
    <t xml:space="preserve">Sửa chữa, cải tạo phòng tiếp khách cơ quan Huyện ủy huyện Hoằng Hóa phù hợp với nhu cầu và đảm bảo công năng sử dụng. </t>
  </si>
  <si>
    <t xml:space="preserve"> Cải tạo phòng chánh văn phòng và phòng kế toán thành phòng tiếp khách.
 Mua sắm một số trang thiết bị nhằm phục vụ nhu cầu tiếp khách</t>
  </si>
  <si>
    <t>3,22</t>
  </si>
  <si>
    <t>19,05</t>
  </si>
  <si>
    <t>31,54</t>
  </si>
  <si>
    <t>12,5</t>
  </si>
  <si>
    <t>Giúp đảm bảo an toàn giao thông, tạo không gian đường phố thêm thân thiện, giảm căng thẳng cho các phương tiện tham gia giao thông góp phần phát triển kinh tế xã hội của huyện</t>
  </si>
  <si>
    <t>Tạo không gian đường phố thêm xanh tươi, thân thiện và giảm căng thẳng cho các phương tiện khi tham gia giao thông, góp phần thúc đẩy phát triển Kinh tế - xã hội của huyện</t>
  </si>
  <si>
    <t xml:space="preserve">Đầu tư hệ thống điện chiếu sáng sáng tuyến đường giao thông đến Khu du lịch sinh thái Hải Tiến, huyện Hoằng Hóa) chiều dài 5,644 km với quy mô như sau:
- Hệ thống đèn chiếu sáng được bố trí trên vỉa hè; cột điện loại bát giác mạ kẽm. Khoảng cách giữa các cột 40m/cột; sử dụng bóng đèn led tiết kiệm điện.
- Nguồn cấp điện: Nguồn điện lấy từ đường dây 10KV lộ 971, trạm trung gian 35/10kv xã Hoằng Ngọc, huyện Hoằng Hóa và xây dựng 2 trạm biến án công suất (50-75)KVA; bố trí 01 tủ điện để đóng, cắt hệ thống điện.
Cáp điện sử dụng loại dây XLPE/PVC/PVC-3x35+1x16mm2 chạy ngầm dọc theo vỉa hè.
</t>
  </si>
  <si>
    <t>Đầu tư trồng cây xanh vỉa hè hai bên tuyến phù hợp cảnh quan đường phố, chiều dài đầu tư khoảng 5644m.</t>
  </si>
  <si>
    <t>Từng bước hoàn thiện mạng lưới giao thông huyện Hoằng Hóa, kết nối các tuyến đường giao thông chính, tạo điều kiện thuận lợi cho việc đi lại của nhân dân, đảm bảo Quốc phòng an ninh, cứu hộ, cứu nạn trong khu vực các xã phía đông nam huyện Hoằng Hóa, thu hút các nhà đầu tư trong nước và ngoài nước đầu tư vào cụm công nghiệp Thắng - Thái, giải quyết việc làm cho nhân dân trong khu vực, góp phần thúc đẩy phát triển kinh tế xã hội của địa phương.</t>
  </si>
  <si>
    <t xml:space="preserve">Đầu tư Nâng cấp, mở rộng tuyến đường Thịnh - Đông, huyện Hoằng Hóa (giai đoạn 1) đảm bảo quy mô đường phố chính đô thị (theo tiêu chuẩn Việt Nam TCXDVN 104:2007).
Trong đó:
- Điểm đầu: Km0 giao với Quốc Lộ 1A thuộc địa phận xã Hoằng Thịnh;
- Điểm cuối: Km6+300 giao với Dự án đường bộ ven biển thuộc địa phận xã Hoằng Lưu;
- Quy mô mặt cắt ngang: Bề rộng nền đường Bn = 34m; Bề rộng mặt đường Bm = 2x10,5=21,0m; Bề rộng dải phân cách giữa Bdpc=5,0m; Bề rộng hè Bhè = 2x4=8m;
- Kết cấu mặt đường: Thảm bê tông nhựa C19;
- Hệ thống thoát nước: Thoát nước dọc bằng hệ thống rãnh dọc, Thoát nước ngang bằng hệ thống cống, cầu nhỏ, tải trọng thiết kế H30-XB80;
- Hệ thống điện chiếu sáng bố trí hai bên hè đường và điện trang trí bố trí tại dải phân cách giữa;
- Hệ thống an toàn giao thông: Bố trí đầy đủ theo Quy chuẩn quốc gai về báo hiệu đường bộ QCVN 41:2016/BGTVT.
</t>
  </si>
  <si>
    <t>Nhằm tạo ra công trình VHNT để giáo dục truyền thống lịch sử văn hóa cho các thế heeh và đản bảo cơ sở vật chất phục vụ công tác quản lý, bảo vệ khuôn viên và nhà truyền thống.</t>
  </si>
  <si>
    <t>Xây dựng nhà bảo tàng 02 tầng, diện tích xây dựng khoảng 1.6000m2 và các công trình phụ trợ khác.</t>
  </si>
  <si>
    <t>Xây dựng cơ sở hạ tầng phục vụ tái định cư cho các hộ dân bị ảnh hưởng bởi dự án nâng cấp, cải tạo đường từ QL 1A đi khu du lịch Hải Tiến( giai đoạn 2).Hình thành các khu dân cư với hệ thống HTKT phục vụ nhu cầu phát triển KTXH, trả BT GPMB cho dự án QL1A đi HT (GĐ2)</t>
  </si>
  <si>
    <t>Diện tích quy hoạch 1,26ha.
a. Giao thông nội bộ: Hệ thống đường giao thông nội khu được xây dựng với dạng mặt cắt Bm = 10,5m, vỉa hè 3x2=6,0m; mặt đường láng nhựa 4,5kg/m2; kết cấu phần móng đường theo tính toán.
b. Vỉa hè, cây xanh: đầu tư vỉa hè và bó vỉa bằng đá xanh;
c. Hệ thống cấp nước: Nguồn nước cấp nước cho khu vực lấy từ hệ thống cấp nước sạch hiện có;
d. Hệ thống thoát nước: Hệ thống thoát nước bao gồm thoát nước mưa và thoát nước bẩn sinh hoạt đã được xử lý cục bộ trong các công trình và trong các hộ dân cư, hệ thống thoát nước bằng mương xây nắp đan BTCT thoát nước theo các trục giao thông trong khu dân cư và thoát vào hệ thống thoát nước chung của khu vực;
e. Hệ thống điện chiếu sáng và sinh hoạt: 
Nguồn điện trung thế: Từ lưới trung thế trong khu vực.
- Điện hạ thế: Cấp điện sinh hoạt bằng đường dây 0,4kV cáp ngầm chon trực tiếp trong đất từ hệ thống điện sẵn có của khu vực.
- Toàn bộ hệ thống điện sinh hoạt đi ngầm dưới vỉa hè; hệ thống điện chiếu sáng dùng đèn LED 150W.</t>
  </si>
  <si>
    <t>Diện tích quy hoạch 15,68ha.
a. Giao thông nội bộ: Hệ thống đường giao thông trục chính kết hợp các tuyến đường ngang, xương cá theo tiêu chuẩn TK đường đô thị TCVN 104-2007, mặt đường láng nhựa 4,5kg/m2; kết cấu phần móng đường theo tính toán.
b. Vỉa hè, cây xanh: đầu tư vỉa hè và bó vỉa bằng đá xanh;
c. Hệ thống cấp nước: Nguồn nước cấp nước cho khu vực lấy từ hệ thống cấp nước sạch hiện có;
d. Hệ thống thoát nước: Hệ thống thoát nước bao gồm thoát nước mưa và thoát nước bẩn sinh hoạt đã được xử lý cục bộ trong các công trình và trong các hộ dân cư, hệ thống thoát nước bằng mương xây nắp đan BTCT thoát nước theo các trục giao thông trong khu dân cư và thoát vào hệ thống thoát nước chung của khu vực;
e. Hệ thống điện chiếu sáng và sinh hoạt: 
Nguồn điện trung thế: Từ lưới trung thế trong khu vực.
- Điện hạ thế: Cấp điện sinh hoạt bằng đường dây 0,4kV cáp ngầm chon trực tiếp trong đất từ hệ thống điện sẵn có của khu vực.
- Toàn bộ hệ thống điện sinh hoạt đi ngầm dưới vỉa hè; hệ thống điện chiếu sáng dùng đèn LED 150W.</t>
  </si>
  <si>
    <t>Diện tích quy hoạch 0,46ha.
a. Giao thông nội bộ: Giao thông nội bộ bằng đường nhựa đã được đầu tư trong dự án đường từ Tỉnh lộc 510 đi xã Hoằng Ngọc;
b. Vỉa hè, cây xanh: đầu tư vỉa hè và bó vỉa bằng đá xanh;
c. Hệ thống cấp nước: Sử dụng hệ thống cấp nước chung trong khu vực;
d. Hệ thống thoát nước: Sử dụng hệ thống thoát nước chung trong khu vực đã được đầu tư;
e. Hệ thống điện chiếu sáng và sinh hoạt: Toàn bộ hệ thống điện sinh hoạt đi ngầm dưới vỉa hè; hệ thống điện chiếu sáng dùng đèn LED 150W.</t>
  </si>
  <si>
    <t>Tổng mức dự kiến
(tỷ đồng)</t>
  </si>
  <si>
    <t>Diện tích quy hoạch 1,49ha.
a. Giao thông nội bộ: Hệ thống đường giao thông nội khu được xây dựng với dạng mặt cắt: Bm=10.5m; Vỉa hè: 3x2=6m
b. Vỉa hè, cây xanh: đầu tư vỉa hè và bó vỉa bằng đá xanh;
c. Hệ thống cấp nước: Sử dụng hệ thống cấp nước chung trong khu vực;
d. Hệ thống thoát nước: Thoát nước bằng mương xây nắp đan BTCT thoát nước theo các trục giao thông trong khu dân cư và thoát nước vào hệ thống thoát nước chung của khu vực;
e. Hệ thống điện chiếu sáng và sinh hoạt: Toàn bộ hệ thống điện sinh hoạt đi ngầm dưới vỉa hè; hệ thống điện chiếu sáng dùng đèn LED 150W.</t>
  </si>
  <si>
    <t>Diện tích quy hoạch 2,67ha.
a. Giao thông nội bộ: hệ thống đường giao thông nội khu vực được xây dựng với dạng mặt cắt Bm= 10,5m;
b. Vỉa hè, cây xanh: đầu tư vỉa hè và bó vỉa bằng đá xanh;
c. Hệ thống cấp nước: Sử dụng hệ thống cấp nước chung trong khu vực;
d. Hệ thống thoát nước: Hệ thống thoát nước bằng mương xây nắp tấm đan BTCT;
e. Hệ thống điện chiếu sáng và sinh hoạt: Toàn bộ hệ thống điện sinh hoạt đi ngầm dưới vỉa hè; hệ thống điện chiếu sáng dùng đèn LED 150W.</t>
  </si>
  <si>
    <t>Diện tích quy hoạch 3,74 ha.
a. Giao thông nội bộ: hệ thống đường giao thông nội khu vực được xây dựng với dạng mặt cắt Bm= 10,5m;
b. Vỉa hè, cây xanh: đầu tư vỉa hè và bó vỉa bằng đá xanh;
c. Hệ thống cấp nước: Sử dụng hệ thống cấp nước chung trong khu vực;
d. Hệ thống thoát nước: Hệ thống thoát nước bằng mương xây nắp tấm đan BTCT;
e. Hệ thống điện chiếu sáng và sinh hoạt: Toàn bộ hệ thống điện sinh hoạt đi ngầm dưới vỉa hè; hệ thống điện chiếu sáng dùng đèn LED 150W.</t>
  </si>
  <si>
    <t>Diện tích quy hoạch 0,65ha.
a. Giao thông nội bộ: Hệ thống đường giao thông nội khu được xây dựng: Bm=10,5m; Vỉa hè: 3x2=6m;
b. Hệ thống cấp nước: Sử dụng hệ thống cấp nước chung trong khu vực;
d. Hệ thống thoát nước: Hệ thống thoát nước mưa, nước sinh hoạt bằng mương xây nắp đan BTCT và thoát vào hệ thống thoát nước chung trong khu vực đã được đầu tư;
e. Hệ thống điện chiếu sáng và sinh hoạt: Toàn bộ hệ thống điện sinh hoạt đi ngầm dưới vỉa hè; hệ thống điện chiếu sáng dùng đèn LED 150W.</t>
  </si>
  <si>
    <t>Diện tích quy hoạch 2.65ha.
a. Giao thông nội bộ: Giao thông nội khu được xây dựng với dạng mặt cắt: Bm= 10,5m Vỉa hè: 3x2=6m;
b. Hệ thống cấp nước: Sử dụng hệ thống cấp nước chung trong khu vực;
c. Hệ thống thoát nước: Sử dụng hệ thống thoát nước chung trong khu vực đã được đầu tư;
d. Hệ thống điện chiếu sáng và sinh hoạt: Toàn bộ hệ thống điện sinh hoạt đi ngầm dưới vỉa hè; hệ thống điện chiếu sáng dùng đèn LED 150W.</t>
  </si>
  <si>
    <t>Diện tích quy hoạch 1,645 ha.
a. Giao thông nội bộ: hệ thống đường giao thông nội khu vực được xây dựng với dạng mặt cắt Bm= 10,5m;
b. Vỉa hè, cây xanh: đầu tư vỉa hè và bó vỉa bằng đá xanh;
c. Hệ thống cấp nước: Sử dụng hệ thống cấp nước chung trong khu vực;
d. Hệ thống thoát nước: Hệ thống thoát nước bằng mương xây nắp tấm đan BTCT;
e. Hệ thống điện chiếu sáng và sinh hoạt: Toàn bộ hệ thống điện sinh hoạt đi ngầm dưới vỉa hè; hệ thống điện chiếu sáng dùng đèn LED 150W.</t>
  </si>
  <si>
    <t>Diện tích quy hoạch 1,434ha.
a. Giao thông nội bộ: Hệ thống đường giao thông nội khu được xây dựng: Bm=10,5m; Vỉa hè: 3x2=6m;
b. Hệ thống cấp nước: Sử dụng hệ thống cấp nước chung trong khu vực;
d. Hệ thống thoát nước: Hệ thống thoát nước mưa, nước sinh hoạt bằng mương xây nắp đan BTCT và thoát vào hệ thống thoát nước chung trong khu vực đã được đầu tư;
e. Hệ thống điện chiếu sáng và sinh hoạt: Toàn bộ hệ thống điện sinh hoạt đi ngầm dưới vỉa hè; hệ thống điện chiếu sáng dùng đèn LED 150W.</t>
  </si>
  <si>
    <t>Sửa chữa, cải tạo trụ sở làm việc cơ quan Huyện ủy huyện Hoằng Hóa nhằm góp phần phục vụ tốt hơn nhu cầu làm việc của cán bộ công chức, tạo điều kiện thuận lợi cho công tác lãnh chỉ đạo thực hiện đường lối, chính sách của Đảng, pháp luật của nhà nước, đồng thời đáp ứng được yêu cầu phục vụ nhân dân.</t>
  </si>
  <si>
    <t>Sửa chữa, cải tạo trung tâm bồi dưỡng chính trị huyện Hoằng Hóa</t>
  </si>
  <si>
    <t xml:space="preserve">Sửa chữa, cải tạo trung tâm bồi dưỡng chính trị huyện Hoằng Hóa phù hợp với nhu cầu và đảm bảo công năng sử dụng. </t>
  </si>
  <si>
    <t xml:space="preserve">* Nhà lớp học 3 tầng:
- Thay mới toàn bộ bàn ghế cho đại biểu trong các phòng hội trường.
- Thay mới tăng âm, loa đài và máy chiếu cho các phòng học.
- Thay thế các cửa sổ, cửa đi bị hỏng, cong vênh đồng thời sơn lại toàn bộ các cửa còn tốt có thể tận dụng. 
- Mua sắm bổ sung đồng bộ bàn ghế học viên.
- Trám vá lại phần nền bị bong tróc.
- Sơn lại toàn bộ phần tường ngoài nhà.
- Sửa chữa hệ thống cấp điện cho khu nhà.
* Nhà bán trú cho học viên: Sơn lại toàn bộ phần tường ngoài nhà.
* Nhà hành chính: Mua sắm mới bộ bàn ghế tiếp khách cho các phòng chức năng.
* Khuôn viên:
- Sơn lại toàn bộ phần tường rào và hoa sắt.
- Phá toàn bộ bồn trồng cây xanh xây gạch thay bằng bó vỉa đá đồng thời điều chỉnh lại ví trí hố trồng hợp lý; Thay thế toàn bộ cây xanh bằng cây bàng Đài Loan (Chỉ giữ lại 2 cây xà cừ); Trồng hoa vào khu khuôn viên giữa sân.
- Thiết kế lại phần điện chiếu sáng sân.
- Cải tạo hệ thống rãnh thoát nước.
- Cải tạo lại khu vệ sinh chung phía sau nhà lớp học 3 tầng.
- Cải tạo một số nội dung và chi tiết khác.
</t>
  </si>
  <si>
    <t>Sửa chữa, cải tạo trung tâm hội nghị huyện Hoằng Hóa</t>
  </si>
  <si>
    <t xml:space="preserve">Sửa chữa, cải tạo trung tâm hội nghị huyện Hoằng Hóa phù hợp với nhu cầu và đảm bảo công năng sử dụng. </t>
  </si>
  <si>
    <t xml:space="preserve"> Sửa chữa, cải tạo hội trường:
+ Thay mới  toàn bộ cờ, phông, khẩu hiệu biểu tượng và hệ thống ánh sáng sân khấu.
+ Thay mới toàn bộ hệ thống âm thanh và điều hòa.
+ Sửa chữa một số bàn ghế đã bị hư hỏng.
+ Sửa chữa hệ thống điện và bổ sung hệ thống PCCC.
+ Sửa chữa và thay thế một số thiết bị nhà vệ sinh bị hỏng.
+ Xử lý chống thấm dột một số vị trí trần nhà.
- Nhà làm việc hai tầng:
+ Xử lý chống thấm dột trần nhà.
+ Sửa chữa cải tạo nhà vệ sinh đã xuống cấp nghiêm trọng.
+ Sửa chữa hệ thống điện.
- Nhà luyện tập thi đấu thể dục thể thao.
+ Sửa chữa, cải tạo phần mái (dột một số vị trí), mặt sân bị bong tróc, hệ thống cửa sắt và hệ thống điện đã cũ hỏng.
- Sân tennis: Làm lại toàn bộ mặt sân đã bong tróc hư hỏng.
</t>
  </si>
  <si>
    <t>Cải tạo nhà làm việc cũ, xây kho chứa, ki ốt Trung tâm dịch vụ nông nghiệp huyện Hoằng Hóa</t>
  </si>
  <si>
    <t>Cải tạonhà cũ, xây kho, xây ki ốt Trung tâm dịch vụ nông nghiệp huyện Hoằng Hóa, nhằm mục đích để đảm bảo mọi hoạt động của trung tâm một cách tốt nhất để phục vụ cho nghành nông nghiệp huyên Hoằng Hóa.</t>
  </si>
  <si>
    <t xml:space="preserve">Công trình được xây dựng trong tổng diện tích khuân viên là 675 m2:
+ Nội dung công việc:
- Xây 01 nhà kho với diện tích là 120m2.
- Xây 01 ki ốt với diện tchs là 80m2.
- Sơn lại toàn bộ nhà hai tâng và sửa lại phòng họp.
- Xây lại cổng và tường rào cả đằng trức và sau nhà.
- Làm lại sân.
- Lắp đặt thiết bị phòng kho và ki ốt.
</t>
  </si>
  <si>
    <t>Số …../BC…... ngày …….../…./2019</t>
  </si>
  <si>
    <t>……./TTr-…….. ngày …../….../2019</t>
  </si>
  <si>
    <t>151/TTr-QLDA ngày 04/10/2019</t>
  </si>
  <si>
    <t>Số 77/BC-QLDA ngày 04/10/2019</t>
  </si>
  <si>
    <t>150/TTr-QLDA ngày 04/10/2019</t>
  </si>
  <si>
    <t>Số 76/BC-QLDA ngày 04/10/2019</t>
  </si>
  <si>
    <t>Dự kiến đơn vị tư vấn thiết kế</t>
  </si>
  <si>
    <t>Công ty CP xây dựng LEAD</t>
  </si>
  <si>
    <t>Công ty TNHH tư vấn và xây dựng Gvincom</t>
  </si>
  <si>
    <t>Tây Thành</t>
  </si>
  <si>
    <t>Sao Việt</t>
  </si>
  <si>
    <t>12+13</t>
  </si>
  <si>
    <t>DANH MỤC 19MB ĐƯỜNG THỊNH ĐÔNG</t>
  </si>
  <si>
    <t>QĐ duyệt QH</t>
  </si>
  <si>
    <t>21/01/2020</t>
  </si>
  <si>
    <t>QĐ duyệt nhiệm vụ KS, TK</t>
  </si>
  <si>
    <t>QĐ chỉ định TVTK</t>
  </si>
  <si>
    <t>Tờ trình thẩm định</t>
  </si>
  <si>
    <t>QĐ duyệt BC KTKT (doặc dự án đầu tư)</t>
  </si>
  <si>
    <t>CB phụ trách</t>
  </si>
  <si>
    <t>Đạt</t>
  </si>
  <si>
    <t>Trường</t>
  </si>
  <si>
    <t>Đông</t>
  </si>
  <si>
    <t>Hoài</t>
  </si>
  <si>
    <t>Quân</t>
  </si>
  <si>
    <t>Duy</t>
  </si>
  <si>
    <t>Huân</t>
  </si>
  <si>
    <t>Tùng</t>
  </si>
  <si>
    <t>Phượng</t>
  </si>
  <si>
    <t>Cao Cường</t>
  </si>
  <si>
    <t>Dũng</t>
  </si>
  <si>
    <t>05/12/2017</t>
  </si>
  <si>
    <t>QĐ phê duyệt phương án khảo sát</t>
  </si>
  <si>
    <t>Công ty CP TV XD và TM THN Việt Nam (Anh Tuấn)</t>
  </si>
  <si>
    <t>Công ty TNHH Kim Ngân Phát (A Trung)</t>
  </si>
  <si>
    <t>Công ty CP tư vấn đầu tư  xây dựng Long Giang (Chị Thủy)</t>
  </si>
  <si>
    <t>Công ty CP tư vấn xây dựng công trình 168</t>
  </si>
  <si>
    <t>Công ty CP tư vấn và xây dựng Châu Anh</t>
  </si>
  <si>
    <t>31/01/2020</t>
  </si>
  <si>
    <t>Công ty CP tư vấn XD Tây Thành</t>
  </si>
  <si>
    <t>Công ty CP XD Hương Anh
(A. Tấn 0914.312.577)</t>
  </si>
  <si>
    <t>Lộc th</t>
  </si>
  <si>
    <t>loan</t>
  </si>
  <si>
    <t>su</t>
  </si>
  <si>
    <t>không làm hạ tầng</t>
  </si>
  <si>
    <t>Loộc th</t>
  </si>
  <si>
    <t>Hùng (A Ngh)</t>
  </si>
  <si>
    <t>Hồng</t>
  </si>
  <si>
    <t>No</t>
  </si>
  <si>
    <t>Thanh Ban</t>
  </si>
  <si>
    <t>Hòa C</t>
  </si>
  <si>
    <t>Gác lại sau</t>
  </si>
  <si>
    <t>Quân - Duy</t>
  </si>
  <si>
    <t>Tên xã</t>
  </si>
  <si>
    <t>KH SDĐ 2019</t>
  </si>
  <si>
    <t>Phần DT chưa có KH</t>
  </si>
  <si>
    <t>Thị trấn</t>
  </si>
  <si>
    <t>Hoằng Thịnh</t>
  </si>
  <si>
    <t>Hoằng Thành</t>
  </si>
  <si>
    <t>Hoằng Thắng</t>
  </si>
  <si>
    <t>Hoằng Lưu</t>
  </si>
  <si>
    <t>Hoằng Tiến</t>
  </si>
  <si>
    <t>Hoằng Đồng</t>
  </si>
  <si>
    <t>Hoằng Kim</t>
  </si>
  <si>
    <t>Hoằng Trinh</t>
  </si>
  <si>
    <t>Hoằng Lương</t>
  </si>
  <si>
    <t>Tổng</t>
  </si>
  <si>
    <t>Hoằng Thái</t>
  </si>
  <si>
    <t xml:space="preserve">                  </t>
  </si>
  <si>
    <t>TỔNG HỢP DIỆN TÍCH SỬ DỤNG ĐẤT TẠI CÁC MẶT BẰNG THỊNH - ĐÔNG 2020</t>
  </si>
  <si>
    <t>Chung MB số 04 với Hoằng Thịnh</t>
  </si>
  <si>
    <t>Diện tích QH 2017</t>
  </si>
  <si>
    <t>Diện tích ĐCQH 2020</t>
  </si>
  <si>
    <t>Chênh lệch</t>
  </si>
  <si>
    <t>KH SDĐ 2020
(ha)</t>
  </si>
  <si>
    <t>(Kèm theo Tờ trình số          /TTr-UBND ngày           /            /2020 của UBND huyện)</t>
  </si>
  <si>
    <t>Quy mô</t>
  </si>
  <si>
    <t>Chủ đầu tư</t>
  </si>
  <si>
    <t>Tổng mức đầu tư dự kiến</t>
  </si>
  <si>
    <t>Nguồn vốn</t>
  </si>
  <si>
    <t>Địa điểm thực hiện</t>
  </si>
  <si>
    <t>Ghi chú</t>
  </si>
  <si>
    <t>I</t>
  </si>
  <si>
    <t>Từ nguồn ngân sách huyện</t>
  </si>
  <si>
    <t>UBND huyện Hoằng Hóa</t>
  </si>
  <si>
    <t>Vốn ngân sách huyện và huy động hợp pháp khác</t>
  </si>
  <si>
    <t>Đường kết nối từ đường Kim Sơn đến đường tỉnh lộ 509</t>
  </si>
  <si>
    <t>Dự kiến: XL: 4.084 tr.đồng; còn lại KP GPMB và chi khác</t>
  </si>
  <si>
    <t>Nguồn khai thác quỹ đất tại khu dân cư thôn Đình Bảng xã Hoằng Lộc</t>
  </si>
  <si>
    <t>Dự kiến thực hiện năm 2021 (Đăng ký sử dụng đất năm 2021)</t>
  </si>
  <si>
    <t>Đầu tư xây dựng khu trung tâm VH TDTT khu vực phía Bắc huyện Hoằng Hóa</t>
  </si>
  <si>
    <t>Nguồn khai thác quỹ đất tại chỗ (Mặt bằng xã Hoằng Kim)</t>
  </si>
  <si>
    <t>Nguồn khai thác đất ở tại MB thôn Thanh Xuân, xã Hoằng Hải</t>
  </si>
  <si>
    <t>Nâng cấp, cải tạo đường giao thông Hoằng Kim - Hoằng Quỳ, huyện Hoằng Hóa</t>
  </si>
  <si>
    <t>Nguồn khai thác đất ở tại các MB thôn Phú Thượng và Trịnh Thôn, xã Hoằng Phú</t>
  </si>
  <si>
    <t>Các DA hạ tầng tạo nguồn cho đường Kim - Quỳ</t>
  </si>
  <si>
    <t>Khu dân cư thôn Phú Thượng, xã Hoằng Phú (Mặt bằng KQ1)</t>
  </si>
  <si>
    <t>Nguồn khai thác quỹ đất tại chổ</t>
  </si>
  <si>
    <t xml:space="preserve">thôn Phú Thượng, xã Hoằng Phú </t>
  </si>
  <si>
    <t>Khu dân cư thôn Phú Thượng, xã Hoằng Phú (Mặt bằng KQ2)</t>
  </si>
  <si>
    <t>Khu dân cư thôn Trịnh Thôn, xã Hoằng Phú (Mặt bằng KQ3)</t>
  </si>
  <si>
    <t xml:space="preserve">thôn Trịnh Thôn, xã Hoằng Phú </t>
  </si>
  <si>
    <t>Khu dân cư thôn Trịnh Thôn, xã Hoằng Phú (Mặt bằng KQ4)</t>
  </si>
  <si>
    <t>Khu dân cư thôn Trịnh Thôn, xã Hoằng Phú (Mặt bằng KQ5)</t>
  </si>
  <si>
    <t>Khu dân cư thôn Trịnh Thôn, xã Hoằng Phú (Mặt bằng KQ6)</t>
  </si>
  <si>
    <t>Khu dân cư thôn Trịnh Thôn, xã Hoằng Phú (Mặt bằng KQ7)</t>
  </si>
  <si>
    <t>Các DA hạ tầng tạo nguồn cho dự án đường Quỳ - Xuyên</t>
  </si>
  <si>
    <t>Khu dân cư thôn Trọng Hậu, xã Hoằng Quỳ (Mặt bằng QX1)</t>
  </si>
  <si>
    <t xml:space="preserve"> thôn Trọng Hậu, xã Hoằng Quỳ</t>
  </si>
  <si>
    <t>Khu dân cư thôn Đức Thành, xã Hoằng Cát (Mặt bằng QX2)</t>
  </si>
  <si>
    <t>thôn Đức Thành, xã Hoằng Cát</t>
  </si>
  <si>
    <t>Khu dân cư thôn Đoài Thôn, xã Hoằng Xuyên (Mặt bằng QX3)</t>
  </si>
  <si>
    <t xml:space="preserve"> thôn Đoài Thôn, xã Hoằng Xuyên</t>
  </si>
  <si>
    <t xml:space="preserve">thôn Thanh Xuân, xã Hoằng Hải </t>
  </si>
  <si>
    <t>II</t>
  </si>
  <si>
    <t>Vốn ngân sách huyện hỗ trợ, vốn ngân sách xã</t>
  </si>
  <si>
    <t>UBND xã Hoằng Đông</t>
  </si>
  <si>
    <t>KH SDĐ đã có</t>
  </si>
  <si>
    <t xml:space="preserve">Diện tích QH </t>
  </si>
  <si>
    <t>Đường ven biển (đoạn qua huyện Hoằng Hóa)</t>
  </si>
  <si>
    <t>Đường Hoằng Trung-Hoằng Khánh-Thiệu Long</t>
  </si>
  <si>
    <t>Chiều dài</t>
  </si>
  <si>
    <t xml:space="preserve">Đường cấp III </t>
  </si>
  <si>
    <t>Sở Giao thông
vận tải</t>
  </si>
  <si>
    <t>Hoằng Yến, Hoằng Ngọc, Hoằng Đông, Hoằng Lưu, 
Hoằng Phong, Hoằng Châu</t>
  </si>
  <si>
    <t>Hoằng Trung,
 Hoằng Khánh</t>
  </si>
  <si>
    <t>Dự kiến thời gian thực hiện</t>
  </si>
  <si>
    <t>2020-2021</t>
  </si>
  <si>
    <t>Đầu tư xây dựng Trung tâm VH - TDTT khu vực Đông Nam huyện Hoằng Hóa</t>
  </si>
  <si>
    <t>Hoằng Lộc</t>
  </si>
  <si>
    <t xml:space="preserve"> Hoằng Kim</t>
  </si>
  <si>
    <t>Hoằng Kim; Hoằng Phú; Hoằng Hợp; Hoằng Quỳ</t>
  </si>
  <si>
    <t xml:space="preserve"> Hoằng Đông; xã Hoằng Phụ</t>
  </si>
  <si>
    <t>Đường giao thông từ Quốc lộ 1A đi ngã tư Gòng, huyện Hoằng Hóa</t>
  </si>
  <si>
    <t>Đường giao thông từ tỉnh lộ 510B (xã Hoằng Tiến) đến đường Thịnh-Đông xã Hoằng Đông, dài 4Km</t>
  </si>
  <si>
    <t>Hoằng Tiến, Hoằng Thanh, Hoằng Đông</t>
  </si>
  <si>
    <t>DANH MỤC CÔNG TRÌNH, DỰ ÁN ĐĂNG KÝ NHU CẦU SỬ DỤNG ĐẤT GIAI ĐOẠN 2021-2030</t>
  </si>
  <si>
    <t>UBND HUYỆN HOẰNG HÓA</t>
  </si>
  <si>
    <t>CỘNG HÒA XÃ HỘI CHỦ NGHĨA VIỆT NAM</t>
  </si>
  <si>
    <t>Độc lập - Tự do - Hạnh phúc</t>
  </si>
  <si>
    <t xml:space="preserve"> 1,76 ha</t>
  </si>
  <si>
    <t>3,5 ha</t>
  </si>
  <si>
    <t>Hoằng Tiến,
Hoằng Hải, Hoằng Trường</t>
  </si>
  <si>
    <t xml:space="preserve"> 0,98ha</t>
  </si>
  <si>
    <t xml:space="preserve"> 0,7ha</t>
  </si>
  <si>
    <t>0,97ha</t>
  </si>
  <si>
    <t>0,75ha</t>
  </si>
  <si>
    <t xml:space="preserve"> 1,06ha</t>
  </si>
  <si>
    <t>1,54ha</t>
  </si>
  <si>
    <t>1,58ha</t>
  </si>
  <si>
    <t xml:space="preserve"> 2,5ha</t>
  </si>
  <si>
    <t>3,16ha</t>
  </si>
  <si>
    <t xml:space="preserve"> 2,9ha</t>
  </si>
  <si>
    <t>1,7ha</t>
  </si>
  <si>
    <t>Đường cấp IV</t>
  </si>
  <si>
    <t>Đường giao thông nối từ đường Gòng - Hải Tiến (trước đền Tô Hiến Thành) đến khu dãy núi Linh Trường, xã Hoằng Trường</t>
  </si>
  <si>
    <t>Đường phố chỉnh thứ yếu 6 làn xe</t>
  </si>
  <si>
    <t xml:space="preserve">Đường Hoằng Yến-Hoằng Trường </t>
  </si>
  <si>
    <t>Hoằng Yến, Hoằng Trường</t>
  </si>
  <si>
    <t>Đường Hoằng Ngọc-Hoằng Thanh</t>
  </si>
  <si>
    <t>Đường phố chính đô thị 
thứ yếu; 4 làn xe</t>
  </si>
  <si>
    <t>Đường 22m (giai đoạn 3)</t>
  </si>
  <si>
    <t>Hoằng Ngọc, Hoằng Thanh</t>
  </si>
  <si>
    <t>Hoằng Thanh, Hoằng Phụ</t>
  </si>
  <si>
    <t>Đường Xuân - Hợp - Cát (dọc bờ kênh Nam)</t>
  </si>
  <si>
    <t>Hoằng Xuân, Hoằng Hợp, Hoằng Quỳ, Hoằng Cát</t>
  </si>
  <si>
    <t>Nâng cấp, cải tạo đường Hoằng Đông - Hoằng Phụ, đoạn từ UBND xã đi xã Hoằng Phụ, huyện Hoằng Hóa</t>
  </si>
  <si>
    <t>III</t>
  </si>
  <si>
    <t>Đường từ đại lộ Bắc sông Mã đến đường ven biển</t>
  </si>
  <si>
    <t>Hoằng Trạch, Hoằng Châu</t>
  </si>
  <si>
    <t>Thị trấn Bút Sơn; xã Hoằng Đồng, Hoằng Thịnh</t>
  </si>
  <si>
    <t>Đường phố chính đô thị thứ yếu (theo TCXDVN 104: 2007); 4 làn xe</t>
  </si>
  <si>
    <t>Tổng cộng</t>
  </si>
  <si>
    <t>2020-2025</t>
  </si>
  <si>
    <t>Nhu cầu sử dụng đất của dự án, công trình (ha)</t>
  </si>
  <si>
    <t>KH SDĐ đề nghị bổ sung giai đoạn 2021-2030</t>
  </si>
  <si>
    <t>NGƯỜI LẬP</t>
  </si>
  <si>
    <t>2021-2025</t>
  </si>
  <si>
    <t>Sở GTVT làm chủ đầu tư</t>
  </si>
  <si>
    <t>CÁC DỰ ÁN DO HUYỆN LÀM CHỦ ĐẦU TƯ</t>
  </si>
  <si>
    <t>BAN QUẢN LÝ DỰ ÁN</t>
  </si>
  <si>
    <t>(CÁC DỰ ÁN ĐÃ CÓ CHỦ TRƯƠNG ĐẦU TƯ)</t>
  </si>
  <si>
    <t>Theo Nghị quyết số 87/NQ-HĐND ngày 27/7/2020</t>
  </si>
  <si>
    <t>Theo Nghị quyết số 86/NQ-HĐND ngày 27/7/2020</t>
  </si>
  <si>
    <t>Theo Nghị quyết số 28/NQ-HĐND ngày 19/7/2017</t>
  </si>
  <si>
    <t>Theo Nghị quyết số 38/NQ-HĐND ngày 20/12/2018</t>
  </si>
  <si>
    <t xml:space="preserve"> không</t>
  </si>
  <si>
    <t>Theo Công văn số 21/CV-HĐND ngày 17/5/2018</t>
  </si>
  <si>
    <t>Đường Hoằng Thắng - Hoằng Lưu (ĐH-HH.32)</t>
  </si>
  <si>
    <t>đường nối từ đường ĐH-HH.32 đến đường TL510 - Hoằng Ngọc</t>
  </si>
  <si>
    <t>dài 3,2km</t>
  </si>
  <si>
    <t>dài 1,5km</t>
  </si>
  <si>
    <t>không</t>
  </si>
  <si>
    <t>Theo Nghị quyết số 48/NQ-HĐND ngày 13/7/2018</t>
  </si>
  <si>
    <t>dài 1,2Km; Bn=7,5m</t>
  </si>
  <si>
    <t>Theo Nghị quyết số 204a/NQ-HĐND ngày 08/07/2019</t>
  </si>
  <si>
    <t>Đường Hoằng Quỳ - Hoằng Xuyên</t>
  </si>
  <si>
    <t>dài 4km; Bn=29m</t>
  </si>
  <si>
    <t>Theo Nghị quyết số 228/NQ-HĐND ngày 08/10/2019</t>
  </si>
  <si>
    <t>Theo Nghị quyết số 229/NQ-HĐND ngày 08/10/2019</t>
  </si>
  <si>
    <t>Nâng cấp, mở rộng tuyến đường Thịnh - Đông (GĐ 1)</t>
  </si>
  <si>
    <t>dài 6,3km; Bn=34m</t>
  </si>
  <si>
    <t>Nâng cấp tuyến đường Kim - xuân kéo dài (đoạn từ cầu Nga Phú đi cầu Vàng)</t>
  </si>
  <si>
    <t>dài 2km; Bn=16m; Bm=8,0m</t>
  </si>
  <si>
    <t>Theo Công văn số 56/CV-HĐND ngày 07/8/2018</t>
  </si>
  <si>
    <t>IV</t>
  </si>
  <si>
    <t>V</t>
  </si>
  <si>
    <t>VI</t>
  </si>
  <si>
    <t>VII</t>
  </si>
  <si>
    <t>VIII</t>
  </si>
  <si>
    <t>IX</t>
  </si>
  <si>
    <t>xã Hoằng Quỳ</t>
  </si>
  <si>
    <t>xã Hoằng Cát</t>
  </si>
  <si>
    <t>xã Hoằng Xuyên</t>
  </si>
  <si>
    <t>Lê Đình Bình</t>
  </si>
  <si>
    <t>Nguyễn Văn Tú</t>
  </si>
  <si>
    <t>dài 2,6km; Đường cấp VI</t>
  </si>
  <si>
    <t>dài 0,6km; Bn=16,0 (m); Bm =8,0 (m); 
Bvh = 2x4,0=8 (m)</t>
  </si>
  <si>
    <t>dài 1,3km; Đường phố chính đô thị thứ yếu Đường Bn=26m, Bm=(10,5x2)=21m</t>
  </si>
  <si>
    <t>dài 5,7km; Bn = 21,0 (m); Bm = (8,0 x 2) = 16 (m); Bpc = 3,0 (m); Bl = (1,0 x 2) = 2,0 (m)</t>
  </si>
  <si>
    <t>Theo Công văn số 63/CV-HĐND ngày 13/8/2018</t>
  </si>
  <si>
    <t>Đường Hoằng Yến đi Hoằng Hải (đến quãng trường biển Hoằng Hải)</t>
  </si>
  <si>
    <t>dài 3,9km; Bn=32m</t>
  </si>
  <si>
    <t>Đường nối từ TL 510 đi Hoằng Ngọc (GĐ2)</t>
  </si>
  <si>
    <t>dài 2,5km, Bn=12m</t>
  </si>
  <si>
    <t>GIÁM ĐỐC</t>
  </si>
  <si>
    <t>Mặt bằng thuộc xã Hoằng Đồng</t>
  </si>
  <si>
    <t>Mặt bằng thuộc xã Hoằng Thịnh</t>
  </si>
  <si>
    <t>Mặt bằng thuộc xã Hoằng Thành</t>
  </si>
  <si>
    <t>Mặt bằng thuộc xã Hoằng Thắng</t>
  </si>
  <si>
    <t>Mặt bằng thuộc xã Hoằng Lưu</t>
  </si>
  <si>
    <t>Mặt bằng thuộc xã Hoằng Kim</t>
  </si>
  <si>
    <t>Mặt bằng thuộc xã Hoằng Trinh</t>
  </si>
  <si>
    <t>Mặt bằng thuộc xã Hoằng Sơn</t>
  </si>
  <si>
    <t>xã Hoằng Đồng</t>
  </si>
  <si>
    <t>xã Hoằng Thịnh</t>
  </si>
  <si>
    <t>xã Hoằng Thành</t>
  </si>
  <si>
    <t>xã Hoằng Thắng</t>
  </si>
  <si>
    <t>xã Hoằng Lưu</t>
  </si>
  <si>
    <t>xã Hoằng Kim</t>
  </si>
  <si>
    <t>xã Hoằng Trinh</t>
  </si>
  <si>
    <t>xã Hoằng Sơn</t>
  </si>
  <si>
    <t>xã Hoằng Tiến</t>
  </si>
  <si>
    <t>xã Hoằng Ngọc</t>
  </si>
  <si>
    <t>Các MB Tái định cư để thực hiện dự án đường 22 (Giai đoạn 2)</t>
  </si>
  <si>
    <t>Dự án khu TĐC và đấu giá quyền sử dụng đất tại xã Hoằng Tiến để thực hiện dự án đường đến khu du lịch sinh thái biển Hải Tiến (đường 22) - GĐ 2 (Vị trí 1: đường vào nhà bà Thảo Thắng)</t>
  </si>
  <si>
    <t>Dự án khu TĐC và đấu giá quyền sử dụng đất tại xã Hoằng Tiến để thực hiện dự án đường đến khu du lịch sinh thái biển Hải Tiến (đường 22) - GĐ 2 (Vị trí 2: Sau đến thờ Tô Hiến Thành)</t>
  </si>
  <si>
    <t>Dự án khu TĐC và đấu giá quyền sử dụng đất tại xã Hoằng Hải để thực hiện dự án đường đến khu du lịch sinh thái biển Hải Tiến (đường 22) - GĐ 2 (Vị trí 3: Đối diện khách sạn Huy Phú)</t>
  </si>
  <si>
    <t>Dự án khu TĐC và đấu giá quyền sử dụng đất tại xã Hoằng Hải để thực hiện dự án đường đến khu du lịch sinh thái biển Hải Tiến (đường 22) - GĐ 2 (Vị trí 4: Giáp xã Hoằng Tiến)</t>
  </si>
  <si>
    <t>Dự án khu TĐC và đấu giá quyền sử dụng đất tại xã Hoằng Trường để thực hiện dự án đường đến khu du lịch sinh thái biển Hải Tiến (đường 22) - GĐ 2 (Vị trí 5: Sau tượng đài lão dân quân Hoằng Trường)</t>
  </si>
  <si>
    <t>Mặt bằng thuộc Thị trấn Bút Sơn</t>
  </si>
  <si>
    <t>Thị trấn Bút Sơn</t>
  </si>
  <si>
    <t>Nâng cấp, mở rộng tuyến đường Thịnh - Đông (Giai đoạn 2)</t>
  </si>
  <si>
    <t>4 km</t>
  </si>
  <si>
    <t>Hoằng Đông, Hoằng Phụ</t>
  </si>
  <si>
    <t>xã Hoằng Đức, thị trấn Bút Sơn</t>
  </si>
  <si>
    <t>Đường giao thông từ cầu Bút Sơn đi Quốc lộ 10 (xã Hoằng Vinh cũ) - giai đoạn 2</t>
  </si>
  <si>
    <t>Đường từ QL10 (TTr Bút Sơn) đến đường Thịnh-Đông (xã Hoằng Thịnh)</t>
  </si>
  <si>
    <t>Đường phố chính đô thị thứ yếu (theo TCXDVN 104: 2007); 6 làn xe</t>
  </si>
  <si>
    <t>Đường vào khu công nghiệp Phú - Quý</t>
  </si>
  <si>
    <t>TUYẾN ĐƯỜNG GIAO THÔNG</t>
  </si>
  <si>
    <t>A</t>
  </si>
  <si>
    <t>Đường từ Quốc lộ 10 đi xã Hoằng Hải</t>
  </si>
  <si>
    <t>Từ nguồn ngân sách tỉnh + TW</t>
  </si>
  <si>
    <t>Hoằng Quỳ, Hoằng Cát, Hoằng Quý, Hoằng Kim</t>
  </si>
  <si>
    <t>10 km</t>
  </si>
  <si>
    <t>2,5 km</t>
  </si>
  <si>
    <t>5,6 km</t>
  </si>
  <si>
    <t>2,3 km</t>
  </si>
  <si>
    <t>5 km</t>
  </si>
  <si>
    <t>10,5 km</t>
  </si>
  <si>
    <t>1,5 km</t>
  </si>
  <si>
    <t>2 km</t>
  </si>
  <si>
    <t>3 km</t>
  </si>
  <si>
    <t>TTr Bút sơn, Hoằng Đạt, Hoằng Hà, Hoằng Ngọc Hoằng Yến, Hoằng  Hải</t>
  </si>
  <si>
    <t>Nâng cấp, mở rộng đường từ Hoằng Đạo đến Hoằng Tân</t>
  </si>
  <si>
    <t>7,0 km</t>
  </si>
  <si>
    <t>Hoằng Đạo, Hoằng Thắng, Hoằng Thành, Hoằng Trạch, Hoằng Châu, Hoằng Tân</t>
  </si>
  <si>
    <t>B</t>
  </si>
  <si>
    <t>CÁC MẶT BẰNG ĐẤT Ở TĐC VÀ TẠO NGUỒN</t>
  </si>
  <si>
    <t>năm 2021</t>
  </si>
  <si>
    <t>Các Mặt bằng TĐC-KDC để thực hiện DA Đường vào khu công nghiệp Phú - Quý</t>
  </si>
  <si>
    <t>Các Mặt bằng TĐC-KDC để thực hiện DA Đường Thịnh - Đông (Giai đoạn 2)</t>
  </si>
  <si>
    <t>Khu dân cư thôn Phú Vinh (vị trí phía sau), thị trấn Bút Sơn để thực hiện DA đường từ QL 1A đi ngã tư Gòng</t>
  </si>
  <si>
    <t>Các Mặt bằng tạo nguồn cho DA Đường từ QL10 (TTr Bút Sơn) đến đường Thịnh-Đông (xã Hoằng Thịnh)</t>
  </si>
  <si>
    <t>Đường giao thông đến khu du lịch sinh thái biển Hải Tiến (đường 22)- đoạn từ Kênh Phúc Ngư đến núi Hòn Bò</t>
  </si>
  <si>
    <t>Đường phố chính đô thị thứ yếu (theo TCXDVN 104: 2007); CGĐĐ=22m</t>
  </si>
  <si>
    <t>xã Hoằng Trường</t>
  </si>
  <si>
    <t>(CÁC DỰ ÁN CHƯA CÓ CHỦ TRƯƠNG ĐẦU TƯ)</t>
  </si>
  <si>
    <t>xã Hoằng Hải</t>
  </si>
  <si>
    <t>MB tạo nguồn cho đường từ QL 1A đi ngã tư Gòng</t>
  </si>
  <si>
    <t>MB tạo nguồn cho Trung tâm VH - TDTT khu vực Đông Nam</t>
  </si>
  <si>
    <t>Khu dân cư thôn Đình Bảng (vị trí phía trong), xã Hoằng Lộc để thực hiện dự án Trung tâm VH - TDTT khu vực Đông Nam</t>
  </si>
  <si>
    <t>xã Hoằng Lộc</t>
  </si>
  <si>
    <t>Khu dân cư thị trấn Bút Sơn để thực hiện dự án Đường từ Quốc lộ 10 đi đường Thịnh Đông</t>
  </si>
  <si>
    <t>Khu dân cư xã Hoằng Đồng để thực hiện dự án Đường từ Quốc lộ 10 đi đường Thịnh Đông</t>
  </si>
  <si>
    <t>Khu dân cư xã Hoằng Thịnh để thực hiện dự án Đường từ Quốc lộ 10 đi đường Thịnh Đông</t>
  </si>
  <si>
    <t>Các Mặt bằng TĐC-KDC để thực hiện 2 dự án: "Đường từ Quốc lộ 10 đi xã Hoằng Hải " và "Đường giao thông nối từ Quốc lộ 1A đến Quốc lộ 45"</t>
  </si>
  <si>
    <t>Khu dân cư thôn Phú Vinh Tây để thực hiện 2 dự án: "Đường từ Quốc lộ 10 đi xã Hoằng Hải " và "Đường giao thông nối từ Quốc lộ 1A đến Quốc lộ 45"</t>
  </si>
  <si>
    <t>Mặt bằng Tái định cư cho Đường từ Quốc lộ 10 đi xã Hoằng Hải (vị trí xã Hoằng Ngọc)</t>
  </si>
  <si>
    <t>Mặt bằng Tái định cư cho Đường từ Quốc lộ 10 đi xã Hoằng Hải (vị trí xã Hoằng Hải)</t>
  </si>
  <si>
    <t>Mặt bằng khu dân cư để thực hiện dự án Đường vào khu công nghiệp Phú - Quý</t>
  </si>
  <si>
    <t>Mặt bằng khu dân cư để thực hiện dự án Đường Thịnh - Đông (Giai đoạn 2)</t>
  </si>
  <si>
    <t>xã Hoằng Phụ</t>
  </si>
  <si>
    <t>Mặt bằng Tái định cư cho Đường từ Quốc lộ 1A đi Quốc lộ 45 (vị trí xã Hoằng Kim)</t>
  </si>
  <si>
    <t>Đường từ Cầu Nga Phú (xã Hoằng Xuân) đi làng Vĩnh gia 3, xã Hoằng Phượng</t>
  </si>
  <si>
    <t>HTKT khu dân cư phố Trung Sơn (MB02)</t>
  </si>
  <si>
    <t>MBQH SDĐ điểm dân cư xã Hoằng Đồng (Tiếp giáp tiểu dự án 2) (MB14)</t>
  </si>
  <si>
    <t>MBQH SDĐ điểm dân cư thôn 1, xã Hoằng Thịnh (MB03)</t>
  </si>
  <si>
    <t>MBQH SDĐ điểm dân cư thôn 1,2  xã Hoằng Thịnh và thôn 4 xã Hoằng Thái (MB04)</t>
  </si>
  <si>
    <t>MBQH SDĐ điểm dân cư thôn 6, xã Hoằng Thịnh (MB05)</t>
  </si>
  <si>
    <t>MBQH SDĐ điểm dân cư thôn 4, thôn 5, xã Hoằng Thịnh (MB15)</t>
  </si>
  <si>
    <t>MBQH SDĐ điểm dân cư thôn 9, xã Hoằng Thịnh (MB16)</t>
  </si>
  <si>
    <t>MBQH SDĐ điểm dân cư thôn 6, xã Hoằng Thành (MB06)</t>
  </si>
  <si>
    <t>MBQH SDĐ điểm dân cư thôn 8, xã Hoằng Thành (MB10)</t>
  </si>
  <si>
    <t>MBQH SDĐ điểm dân cư thôn 8, xã Hoằng Thành (MB11)</t>
  </si>
  <si>
    <t>MBQH SDĐ điểm dân cư thôn 12, xã Hoằng Thắng (MB07)</t>
  </si>
  <si>
    <t>MBQH SDĐ điểm dân cư thôn Phượng Ngô 2, xã Hoằng Lưu (MB08)</t>
  </si>
  <si>
    <t>MBQH SDĐ điểm dân cư thôn Phượng Ngô 2, xã Hoằng Lưu (MB09)</t>
  </si>
  <si>
    <t>xã Hoằng Phong</t>
  </si>
  <si>
    <t>Xã Hoằng Kim - Hoằng Xuân</t>
  </si>
  <si>
    <t>xã Hoằng Đạo; Hoằng Ngọc</t>
  </si>
  <si>
    <t>xã Hoằng Lưu, Hoằng Thắng, Hoằng Đạo</t>
  </si>
  <si>
    <t>Hoằng Xuân, Hoằng Phượng</t>
  </si>
  <si>
    <t>Hoằng Yến; Hoằng Hải</t>
  </si>
  <si>
    <t>Các DA hạ tầng tạo nguồn cho Đường giao thông nối từ đường Gòng - Hải Tiến (trước đền Tô Hiến Thành) đến  Hoằng Trường ( Đoạn từ cổng đền Tô Hiến Thành đến đường ĐH-HH.13).</t>
  </si>
  <si>
    <t>Khu dân cư thôn Thanh Xuân, xã Hoằng Hải để thực hiện dự án: Đường giao thông nối từ đường Gòng - Hải Tiến (trước đền Tô Hiến Thành) đến Hoằng Trường (Đoạn từ cổng đền Tô Hiến Thành đến đường ĐH-HH.13).</t>
  </si>
  <si>
    <t>Tuyến đường nối từ đường huyện ĐH-HH.13 đến cổng làng Đạt Tài, xã Hoằng Hà</t>
  </si>
  <si>
    <t>Xã Hoằng Đạt; Hoằng Hà</t>
  </si>
  <si>
    <t>1 km</t>
  </si>
  <si>
    <t>Năm 2021</t>
  </si>
  <si>
    <t>2022-2025</t>
  </si>
  <si>
    <r>
      <rPr>
        <sz val="12"/>
        <color indexed="8"/>
        <rFont val="Times New Roman"/>
        <family val="1"/>
      </rPr>
      <t>217-226, 240-346, 369-410,464-472</t>
    </r>
    <r>
      <rPr>
        <b/>
        <sz val="12"/>
        <color indexed="8"/>
        <rFont val="Times New Roman"/>
        <family val="1"/>
      </rPr>
      <t xml:space="preserve">/11;
</t>
    </r>
    <r>
      <rPr>
        <sz val="12"/>
        <color indexed="8"/>
        <rFont val="Times New Roman"/>
        <family val="1"/>
      </rPr>
      <t>328-337, 362-363, 386-400,  437-470, 595-597, 496</t>
    </r>
    <r>
      <rPr>
        <b/>
        <sz val="12"/>
        <color indexed="8"/>
        <rFont val="Times New Roman"/>
        <family val="1"/>
      </rPr>
      <t>/12</t>
    </r>
  </si>
  <si>
    <r>
      <t>8-11, 20-31, 35-48, 53-60, 105-107/</t>
    </r>
    <r>
      <rPr>
        <b/>
        <sz val="12"/>
        <color indexed="8"/>
        <rFont val="Times New Roman"/>
        <family val="1"/>
      </rPr>
      <t>23</t>
    </r>
  </si>
  <si>
    <r>
      <t>43,53,65,89-123,135-137, 154-162,252,264/</t>
    </r>
    <r>
      <rPr>
        <b/>
        <sz val="12"/>
        <color indexed="8"/>
        <rFont val="Times New Roman"/>
        <family val="1"/>
      </rPr>
      <t>18</t>
    </r>
  </si>
  <si>
    <r>
      <t>101,120/</t>
    </r>
    <r>
      <rPr>
        <b/>
        <sz val="12"/>
        <color indexed="8"/>
        <rFont val="Times New Roman"/>
        <family val="1"/>
      </rPr>
      <t>30</t>
    </r>
  </si>
  <si>
    <r>
      <t>80-108, 206/</t>
    </r>
    <r>
      <rPr>
        <b/>
        <sz val="12"/>
        <color indexed="8"/>
        <rFont val="Times New Roman"/>
        <family val="1"/>
      </rPr>
      <t xml:space="preserve">23;
</t>
    </r>
    <r>
      <rPr>
        <sz val="12"/>
        <color indexed="8"/>
        <rFont val="Times New Roman"/>
        <family val="1"/>
      </rPr>
      <t>279-281,338,359-362,426-444/</t>
    </r>
    <r>
      <rPr>
        <b/>
        <sz val="12"/>
        <color indexed="8"/>
        <rFont val="Times New Roman"/>
        <family val="1"/>
      </rPr>
      <t xml:space="preserve">22;
</t>
    </r>
    <r>
      <rPr>
        <sz val="12"/>
        <color indexed="8"/>
        <rFont val="Times New Roman"/>
        <family val="1"/>
      </rPr>
      <t>14-20,33-38,43-46,58-63,84-88</t>
    </r>
    <r>
      <rPr>
        <b/>
        <sz val="12"/>
        <color indexed="8"/>
        <rFont val="Times New Roman"/>
        <family val="1"/>
      </rPr>
      <t xml:space="preserve">/26;
</t>
    </r>
    <r>
      <rPr>
        <sz val="12"/>
        <color indexed="8"/>
        <rFont val="Times New Roman"/>
        <family val="1"/>
      </rPr>
      <t>4,9-49</t>
    </r>
    <r>
      <rPr>
        <b/>
        <sz val="12"/>
        <color indexed="8"/>
        <rFont val="Times New Roman"/>
        <family val="1"/>
      </rPr>
      <t>/27;</t>
    </r>
  </si>
  <si>
    <r>
      <t>72-74,85-103,114-122, 133-135, 148-151-164, 173-175, 186-189, 194-197,206,214, 266/</t>
    </r>
    <r>
      <rPr>
        <b/>
        <sz val="12"/>
        <color indexed="8"/>
        <rFont val="Times New Roman"/>
        <family val="1"/>
      </rPr>
      <t>20</t>
    </r>
  </si>
  <si>
    <r>
      <rPr>
        <sz val="12"/>
        <color indexed="8"/>
        <rFont val="Times New Roman"/>
        <family val="1"/>
      </rPr>
      <t>44-56,84-111</t>
    </r>
    <r>
      <rPr>
        <b/>
        <sz val="12"/>
        <color indexed="8"/>
        <rFont val="Times New Roman"/>
        <family val="1"/>
      </rPr>
      <t>/17</t>
    </r>
  </si>
  <si>
    <r>
      <rPr>
        <sz val="12"/>
        <color indexed="8"/>
        <rFont val="Times New Roman"/>
        <family val="1"/>
      </rPr>
      <t>230-235,472-481</t>
    </r>
    <r>
      <rPr>
        <b/>
        <sz val="12"/>
        <color indexed="8"/>
        <rFont val="Times New Roman"/>
        <family val="1"/>
      </rPr>
      <t>/</t>
    </r>
  </si>
  <si>
    <r>
      <rPr>
        <sz val="12"/>
        <color indexed="8"/>
        <rFont val="Times New Roman"/>
        <family val="1"/>
      </rPr>
      <t>27-29,40-44,54,55,55a,56-62</t>
    </r>
    <r>
      <rPr>
        <b/>
        <sz val="12"/>
        <color indexed="8"/>
        <rFont val="Times New Roman"/>
        <family val="1"/>
      </rPr>
      <t>/</t>
    </r>
  </si>
  <si>
    <r>
      <rPr>
        <sz val="12"/>
        <rFont val="Times New Roman"/>
        <family val="1"/>
      </rPr>
      <t>10-20, 80-85,658</t>
    </r>
    <r>
      <rPr>
        <b/>
        <sz val="12"/>
        <rFont val="Times New Roman"/>
        <family val="1"/>
      </rPr>
      <t>/8A</t>
    </r>
  </si>
  <si>
    <r>
      <rPr>
        <sz val="12"/>
        <rFont val="Times New Roman"/>
        <family val="1"/>
      </rPr>
      <t>38-45</t>
    </r>
    <r>
      <rPr>
        <b/>
        <sz val="12"/>
        <rFont val="Times New Roman"/>
        <family val="1"/>
      </rPr>
      <t>/2A</t>
    </r>
  </si>
  <si>
    <r>
      <rPr>
        <sz val="12"/>
        <rFont val="Times New Roman"/>
        <family val="1"/>
      </rPr>
      <t>23-28, 38-45</t>
    </r>
    <r>
      <rPr>
        <b/>
        <sz val="12"/>
        <rFont val="Times New Roman"/>
        <family val="1"/>
      </rPr>
      <t>/2A</t>
    </r>
  </si>
  <si>
    <r>
      <rPr>
        <sz val="12"/>
        <rFont val="Times New Roman"/>
        <family val="1"/>
      </rPr>
      <t>65-88</t>
    </r>
    <r>
      <rPr>
        <b/>
        <sz val="12"/>
        <rFont val="Times New Roman"/>
        <family val="1"/>
      </rPr>
      <t>/8A</t>
    </r>
  </si>
  <si>
    <r>
      <rPr>
        <sz val="12"/>
        <rFont val="Times New Roman"/>
        <family val="1"/>
      </rPr>
      <t>85-90, 262-272</t>
    </r>
    <r>
      <rPr>
        <b/>
        <sz val="12"/>
        <rFont val="Times New Roman"/>
        <family val="1"/>
      </rPr>
      <t>/8A</t>
    </r>
  </si>
  <si>
    <r>
      <rPr>
        <sz val="12"/>
        <rFont val="Times New Roman"/>
        <family val="1"/>
      </rPr>
      <t>360-375</t>
    </r>
    <r>
      <rPr>
        <b/>
        <sz val="12"/>
        <rFont val="Times New Roman"/>
        <family val="1"/>
      </rPr>
      <t>/8A</t>
    </r>
  </si>
  <si>
    <r>
      <rPr>
        <sz val="12"/>
        <rFont val="Times New Roman"/>
        <family val="1"/>
      </rPr>
      <t>5, 13-15, 26-28, 35-37, 49, 61,70-72,75-115, 126-130, 136-148, 158-189</t>
    </r>
    <r>
      <rPr>
        <b/>
        <sz val="12"/>
        <rFont val="Times New Roman"/>
        <family val="1"/>
      </rPr>
      <t xml:space="preserve">/8
</t>
    </r>
    <r>
      <rPr>
        <sz val="12"/>
        <rFont val="Times New Roman"/>
        <family val="1"/>
      </rPr>
      <t>4-7,9-18, 20-25, 30-35, 43, 50-56,127,139-144,160,172,183,188,190-195,204-210,232</t>
    </r>
    <r>
      <rPr>
        <b/>
        <sz val="12"/>
        <rFont val="Times New Roman"/>
        <family val="1"/>
      </rPr>
      <t>/9</t>
    </r>
  </si>
  <si>
    <r>
      <rPr>
        <sz val="12"/>
        <rFont val="Times New Roman"/>
        <family val="1"/>
      </rPr>
      <t>65, 74-81, 93-100, 118-135, 154-161, 175-182, 189-190, 195-206, 216-224, 237-238, 242-246, 247, 262-263, 282-285, 306-314, 327-328, 344-347, 352-354, 367-372, 375, 378</t>
    </r>
    <r>
      <rPr>
        <b/>
        <sz val="12"/>
        <rFont val="Times New Roman"/>
        <family val="1"/>
      </rPr>
      <t xml:space="preserve">/30; 
</t>
    </r>
    <r>
      <rPr>
        <sz val="12"/>
        <rFont val="Times New Roman"/>
        <family val="1"/>
      </rPr>
      <t>160-169, 186-193, 202-208, 230-235,250-258, 280-284, 300-310, 325-332, 355-365, 385-393, 425-430, 450, 470-475, 510-518</t>
    </r>
    <r>
      <rPr>
        <b/>
        <sz val="12"/>
        <rFont val="Times New Roman"/>
        <family val="1"/>
      </rPr>
      <t>/31</t>
    </r>
  </si>
  <si>
    <t>Mặt bằng QH các khu TĐC ở các xã Hoằng Tiến Hoằng Ngọc để thực hiện dự án: nâng cấp, cải tạo đường từ QL1A đi khu du lịch Hải Tiến, huyện Hoằng Hóa (GĐ2) - Vị trí số 2</t>
  </si>
  <si>
    <t>Mặt bằng QH các khu TĐC ở các xã Hoằng Tiến Hoằng Ngọc để thực hiện dự án: nâng cấp, cải tạo đường từ QL1A đi khu du lịch Hải Tiến, huyện Hoằng Hóa (GĐ2) - Vị trí số 3</t>
  </si>
  <si>
    <t>Mặt bằng QH các khu TĐC ở các xã Hoằng Tiến Hoằng Ngọc để thực hiện dự án: nâng cấp, cải tạo đường từ QL1A đi khu du lịch Hải Tiến, huyện Hoằng Hóa (GĐ2) - Vị trí số 4</t>
  </si>
  <si>
    <t>Mặt bằng QH các khu TĐC ở các xã Hoằng Tiến Hoằng Ngọc để thực hiện dự án: nâng cấp, cải tạo đường từ QL1A đi khu du lịch Hải Tiến, huyện Hoằng Hóa (GĐ2) - Vị trí số 5</t>
  </si>
  <si>
    <t>Mặt bằng QH các khu TĐC ở các xã Hoằng Tiến Hoằng Ngọc để thực hiện dự án: nâng cấp, cải tạo đường từ QL1A đi khu du lịch Hải Tiến, huyện Hoằng Hóa (GĐ2) - Vị trí xã Hoằng Ngọc</t>
  </si>
  <si>
    <t>Các MB Tái định cư để thực hiện dự án đường Gòng - Hải Tiến (Giai đoạn 2)</t>
  </si>
  <si>
    <t>Xã Hoằng Tiến</t>
  </si>
  <si>
    <t>Xã Hoằng Ngọc</t>
  </si>
  <si>
    <r>
      <rPr>
        <sz val="12"/>
        <rFont val="Times New Roman"/>
        <family val="1"/>
      </rPr>
      <t>258,266,267</t>
    </r>
    <r>
      <rPr>
        <b/>
        <sz val="12"/>
        <rFont val="Times New Roman"/>
        <family val="1"/>
      </rPr>
      <t>/34</t>
    </r>
  </si>
  <si>
    <r>
      <rPr>
        <sz val="12"/>
        <rFont val="Times New Roman"/>
        <family val="1"/>
      </rPr>
      <t>116,150-157,183-193,215-224,245-282</t>
    </r>
    <r>
      <rPr>
        <b/>
        <sz val="12"/>
        <rFont val="Times New Roman"/>
        <family val="1"/>
      </rPr>
      <t>/33</t>
    </r>
  </si>
  <si>
    <r>
      <rPr>
        <sz val="12"/>
        <rFont val="Times New Roman"/>
        <family val="1"/>
      </rPr>
      <t>329,331</t>
    </r>
    <r>
      <rPr>
        <b/>
        <sz val="12"/>
        <rFont val="Times New Roman"/>
        <family val="1"/>
      </rPr>
      <t xml:space="preserve">/26;
</t>
    </r>
    <r>
      <rPr>
        <sz val="12"/>
        <rFont val="Times New Roman"/>
        <family val="1"/>
      </rPr>
      <t>1-3,22-28,45-52,69-75</t>
    </r>
    <r>
      <rPr>
        <b/>
        <sz val="12"/>
        <rFont val="Times New Roman"/>
        <family val="1"/>
      </rPr>
      <t>/33;</t>
    </r>
  </si>
  <si>
    <r>
      <rPr>
        <sz val="12"/>
        <rFont val="Times New Roman"/>
        <family val="1"/>
      </rPr>
      <t>322-325,332-335,339-345</t>
    </r>
    <r>
      <rPr>
        <b/>
        <sz val="12"/>
        <rFont val="Times New Roman"/>
        <family val="1"/>
      </rPr>
      <t>/34</t>
    </r>
  </si>
  <si>
    <r>
      <t>336-340,384-394,424-439/</t>
    </r>
    <r>
      <rPr>
        <b/>
        <sz val="12"/>
        <color indexed="8"/>
        <rFont val="Times New Roman"/>
        <family val="1"/>
      </rPr>
      <t>47</t>
    </r>
  </si>
  <si>
    <r>
      <t>127,138-140,149-150,159-160,181-196,207-209/</t>
    </r>
    <r>
      <rPr>
        <b/>
        <sz val="12"/>
        <color indexed="8"/>
        <rFont val="Times New Roman"/>
        <family val="1"/>
      </rPr>
      <t>22</t>
    </r>
  </si>
  <si>
    <r>
      <t>106,126,117/</t>
    </r>
    <r>
      <rPr>
        <b/>
        <sz val="12"/>
        <color indexed="8"/>
        <rFont val="Times New Roman"/>
        <family val="1"/>
      </rPr>
      <t>22</t>
    </r>
  </si>
  <si>
    <r>
      <t>20-44,51,67-70,80-82/</t>
    </r>
    <r>
      <rPr>
        <b/>
        <sz val="12"/>
        <color indexed="8"/>
        <rFont val="Times New Roman"/>
        <family val="1"/>
      </rPr>
      <t>16</t>
    </r>
    <r>
      <rPr>
        <sz val="12"/>
        <color indexed="8"/>
        <rFont val="Times New Roman"/>
        <family val="1"/>
      </rPr>
      <t xml:space="preserve">
1,12,21,30-32,37-40,50-55,62-75,93-97,153/</t>
    </r>
    <r>
      <rPr>
        <b/>
        <sz val="12"/>
        <color indexed="8"/>
        <rFont val="Times New Roman"/>
        <family val="1"/>
      </rPr>
      <t>22</t>
    </r>
  </si>
  <si>
    <r>
      <t>80-88, 97-102/</t>
    </r>
    <r>
      <rPr>
        <b/>
        <sz val="12"/>
        <rFont val="Times New Roman"/>
        <family val="1"/>
      </rPr>
      <t>6</t>
    </r>
    <r>
      <rPr>
        <sz val="12"/>
        <rFont val="Times New Roman"/>
        <family val="1"/>
      </rPr>
      <t>;
506-509, 520-550/</t>
    </r>
    <r>
      <rPr>
        <b/>
        <sz val="12"/>
        <rFont val="Times New Roman"/>
        <family val="1"/>
      </rPr>
      <t>7</t>
    </r>
    <r>
      <rPr>
        <sz val="12"/>
        <rFont val="Times New Roman"/>
        <family val="1"/>
      </rPr>
      <t>;
46, 62-68/</t>
    </r>
    <r>
      <rPr>
        <b/>
        <sz val="12"/>
        <rFont val="Times New Roman"/>
        <family val="1"/>
      </rPr>
      <t>9</t>
    </r>
    <r>
      <rPr>
        <sz val="12"/>
        <rFont val="Times New Roman"/>
        <family val="1"/>
      </rPr>
      <t xml:space="preserve">; </t>
    </r>
  </si>
  <si>
    <t>Vị trí (Thửa/Tờ bản đồ)</t>
  </si>
  <si>
    <r>
      <t>48a, 48-50, 50a, 51-55, 179-189/</t>
    </r>
    <r>
      <rPr>
        <b/>
        <sz val="12"/>
        <rFont val="Times New Roman"/>
        <family val="1"/>
      </rPr>
      <t>6</t>
    </r>
  </si>
  <si>
    <r>
      <t>74a, 93-102, 153-166, 166a, 167-172/</t>
    </r>
    <r>
      <rPr>
        <b/>
        <sz val="12"/>
        <rFont val="Times New Roman"/>
        <family val="1"/>
      </rPr>
      <t>3</t>
    </r>
  </si>
  <si>
    <r>
      <t>350-375/</t>
    </r>
    <r>
      <rPr>
        <b/>
        <sz val="12"/>
        <rFont val="Times New Roman"/>
        <family val="1"/>
      </rPr>
      <t>4</t>
    </r>
    <r>
      <rPr>
        <sz val="12"/>
        <rFont val="Times New Roman"/>
        <family val="1"/>
      </rPr>
      <t>;
8,9,10,10a,11,12/</t>
    </r>
    <r>
      <rPr>
        <b/>
        <sz val="12"/>
        <rFont val="Times New Roman"/>
        <family val="1"/>
      </rPr>
      <t>5</t>
    </r>
    <r>
      <rPr>
        <sz val="12"/>
        <rFont val="Times New Roman"/>
        <family val="1"/>
      </rPr>
      <t>;
228-266/
1a, 14-22/</t>
    </r>
  </si>
  <si>
    <r>
      <t>637,638b,639,640/</t>
    </r>
    <r>
      <rPr>
        <b/>
        <sz val="12"/>
        <rFont val="Times New Roman"/>
        <family val="1"/>
      </rPr>
      <t>5A</t>
    </r>
  </si>
  <si>
    <r>
      <t>1-5,9-25,39,79-88/</t>
    </r>
    <r>
      <rPr>
        <b/>
        <sz val="12"/>
        <rFont val="Times New Roman"/>
        <family val="1"/>
      </rPr>
      <t>14</t>
    </r>
  </si>
  <si>
    <r>
      <rPr>
        <sz val="12"/>
        <rFont val="Times New Roman"/>
        <family val="1"/>
      </rPr>
      <t>40-52,60-78,90-102,115-162,180-195,200-210,228-238,250-255,279-285, 593-595</t>
    </r>
    <r>
      <rPr>
        <b/>
        <sz val="12"/>
        <rFont val="Times New Roman"/>
        <family val="1"/>
      </rPr>
      <t>/30</t>
    </r>
  </si>
  <si>
    <t>Vị trí (Thửa/Tờ bản đồ) đề nghị chấp thuận bổ sung</t>
  </si>
  <si>
    <t>217-226, 240-346, 369-410,464-472/11;
328-337, 362-363, 386-400,  437-470, 595-597, 496/12</t>
  </si>
  <si>
    <t>1-4/21
20-25,53-56,80-88,90-101,106-177/22</t>
  </si>
  <si>
    <t>MBQH SDĐ điểm dân cư thôn 5, thôn 6, thôn 7, xã Hoằng Kim (MB17)</t>
  </si>
  <si>
    <t>MBQH SDĐ điểm dân cư thôn Trinh Nga, xã Hoằng Trinh (MB18)</t>
  </si>
  <si>
    <t>MBQH SDĐ điểm dân cư thôn Lương Quán, xã Hoằng Sơn (MB19)</t>
  </si>
  <si>
    <t>Thị trấn Bút Sơn; xã Hoằng Đức</t>
  </si>
  <si>
    <r>
      <rPr>
        <sz val="12"/>
        <rFont val="Times New Roman"/>
        <family val="1"/>
      </rPr>
      <t>38-60</t>
    </r>
    <r>
      <rPr>
        <b/>
        <sz val="12"/>
        <rFont val="Times New Roman"/>
        <family val="1"/>
      </rPr>
      <t xml:space="preserve">/25; </t>
    </r>
    <r>
      <rPr>
        <sz val="12"/>
        <rFont val="Times New Roman"/>
        <family val="1"/>
      </rPr>
      <t>112-116,126-129,136-163/</t>
    </r>
    <r>
      <rPr>
        <b/>
        <sz val="12"/>
        <rFont val="Times New Roman"/>
        <family val="1"/>
      </rPr>
      <t xml:space="preserve">26;
</t>
    </r>
    <r>
      <rPr>
        <sz val="12"/>
        <rFont val="Times New Roman"/>
        <family val="1"/>
      </rPr>
      <t>1-18</t>
    </r>
    <r>
      <rPr>
        <b/>
        <sz val="12"/>
        <rFont val="Times New Roman"/>
        <family val="1"/>
      </rPr>
      <t xml:space="preserve">/30; </t>
    </r>
    <r>
      <rPr>
        <sz val="12"/>
        <rFont val="Times New Roman"/>
        <family val="1"/>
      </rPr>
      <t>1-5,22-32</t>
    </r>
    <r>
      <rPr>
        <b/>
        <sz val="12"/>
        <rFont val="Times New Roman"/>
        <family val="1"/>
      </rPr>
      <t>/31</t>
    </r>
  </si>
  <si>
    <t>Khu dân cư xã Hoằng Lộc (Giáp thành phố Thanh  Hóa)</t>
  </si>
  <si>
    <t>t</t>
  </si>
  <si>
    <t>b</t>
  </si>
  <si>
    <t>h</t>
  </si>
  <si>
    <t>DANH MỤC CÔNG TRÌNH ĐỀ XUẤT KHỞI CÔNG MỚI NĂM 2021</t>
  </si>
  <si>
    <t>Tuyến đường nối từ đường huyện ĐH-HH.13 đến cổng làng Đạt Tài, xã Hoằng Hà (Đoạn từ Cầu Đồng Nga đến cổng làng Đạt Tài)</t>
  </si>
  <si>
    <t>Nâng cấp, mở rộng tuyến đường từ Hoằng Thắng đến Hoằng Thành</t>
  </si>
  <si>
    <t>Hoằng Thắng, Hoằng Thành</t>
  </si>
  <si>
    <t>Ngân sách huyện</t>
  </si>
  <si>
    <t>NS TW+ NS Tỉnh + NS huyện</t>
  </si>
  <si>
    <t>Hệ thống điện chiếu sáng tuyến đường từ Quốc lộ 1A đi ngã tư Gòng</t>
  </si>
  <si>
    <t>Mặt bằng tạo nguồn ngân sách huyện</t>
  </si>
  <si>
    <t>Công trình Hạ tầng kỹ thuật cấp IV</t>
  </si>
  <si>
    <t>Tổng mức đầu tư dự kiến
(Triệu đồng)</t>
  </si>
  <si>
    <t>Chiều dài 10 km; Đường phố chính đô thị thứ yếu (theo TCXDVN 104: 2007); 6 làn xe</t>
  </si>
  <si>
    <t>Chiều dài 0,4 km; Đường phố chính đô thị thứ yếu (theo TCXDVN 104: 2007); 4 làn xe</t>
  </si>
  <si>
    <t>Chiều dài 2,0 km; Đường phố chính đô thị thứ yếu (theo TCXDVN 104: 2007); 4 làn xe</t>
  </si>
  <si>
    <t>Chiều dài 2 km; Đường cấp IV</t>
  </si>
  <si>
    <t>Chiều dài 3 km; Đường phố chính đô thị thứ yếu (theo TCXDVN 104: 2007); 6 làn xe</t>
  </si>
  <si>
    <t>Chiều dài 2,5 km; Đường phố chính đô thị thứ yếu (theo TCXDVN 104: 2007); CGĐĐ=22m</t>
  </si>
  <si>
    <t>Chiều dài 4 km; Đường phố chỉnh thứ yếu 6 làn xe</t>
  </si>
  <si>
    <t>Đã có đủ kế hoạch sử dụng đất</t>
  </si>
  <si>
    <t>DANH MỤC CÔNG TRÌNH ĐỀ XUẤT ĐIỀU CHỈNH, BỔ SUNG</t>
  </si>
  <si>
    <t>Nội dung điều chỉnh</t>
  </si>
  <si>
    <t>Dự kiến TMĐT sau điều chỉnh</t>
  </si>
  <si>
    <t>TMĐT đã duyệt</t>
  </si>
  <si>
    <t>Chi phí phát sinh, bổ sung</t>
  </si>
  <si>
    <t>Bổ sung chi phí Giải phóng mặt bằng</t>
  </si>
  <si>
    <t>Bổ sung kéo dài thêm 1,3 Km từ Đồn biên phòng Hoằng Trường đến núi Hòn Bò</t>
  </si>
  <si>
    <t>Các khu tái định cư thực hiện dự án đường Gòng - Hải Tiến GĐ1</t>
  </si>
  <si>
    <t>A Trường</t>
  </si>
  <si>
    <t>A Cường</t>
  </si>
  <si>
    <t>- Điều chỉnh mặt láng nhựa thành thảm nhựa mặt đường
- Bổ sung thảm nhựa mặt đường lưu không của tuyến 1 và tuyến 2.
- Kiên cố hóa kênh N22-9b đoạn đi qua mặt bằng
- Kiên cố hóa kênh chạy dọc đường ĐH-HH25 đoạn qua mặt bằng</t>
  </si>
  <si>
    <t>- Điều chỉnh lại khuôn viên
- Xây mới 01 nhà bia
- Bổ sung đắp tranh phù liêu trong nhà truyền thống.
- Điều chỉnh một số hạng mục khác để phát huy hiểu quả cao khi đưa vào sử dụng</t>
  </si>
  <si>
    <t>Từ khuồn khai tác quỹ đất tại chổ</t>
  </si>
  <si>
    <t>xã Hoằng Đức, thị trấn Bút sơn</t>
  </si>
  <si>
    <t>800.000/m2</t>
  </si>
  <si>
    <t>Diện tích vỉa hè 8400 m2. Công trình Hạ tầng kỹ thuật cấp IV</t>
  </si>
  <si>
    <t>Dải phân cách giữa, trồng cây xanh tuyến đường từ Quốc lộ 1A đi ngã tư Gòng</t>
  </si>
  <si>
    <t>Không lập thành dự án, để tái định cư cho nhà Cự Bài,</t>
  </si>
  <si>
    <t>1,4 tỷ /1Km</t>
  </si>
  <si>
    <t>Chiều dài tuyến 2,6 Km. Công trình Hạ tầng kỹ thuật cấp IV</t>
  </si>
  <si>
    <t>Đường giao thông nối từ tỉnh lộ 510 (Ngã tư Gòng) đến xã Hoằng Ngọc (Cây Xăng Ngọc Đỉnh), huyện Hoằng Hóa (Giai đoạn 1)</t>
  </si>
  <si>
    <t>Bổ sung bó vỉa đá 2 bên và trồng cây 2 bên đường</t>
  </si>
  <si>
    <t>Xây dựng đường giao thông đến khu du lịch STB Hải tiến (đường 22) - GĐ2</t>
  </si>
  <si>
    <t>Đường Hoằng Quỳ - Hoằng Xuyên, huyện Hoằng Hóa</t>
  </si>
  <si>
    <t>Đường giao thông nối từ tỉnh lộ 510 (Ngã tư Gòng) đến xã Hoằng Ngọc (Cây Xăng Ngọc Đỉnh), huyện Hoằng Hóa (Giai đoạn 2)</t>
  </si>
  <si>
    <t>Đầu tư lát vỉa hè tuyến đường tránh Quốc lộ 10 (đoạn từ thôn Phúc Thọ, xã Hoằng Đức đến thôn Trung Hy, thị trấn Bút Sơn. Chiều dài 1,4 Km)</t>
  </si>
  <si>
    <t>Chiều dài 2,3 km. Công trình giao thông cấp III theo TCVN 4054-2005</t>
  </si>
  <si>
    <t>xã Hoằng Đạo; Hoằng Thắng; Hoằng Ngọc</t>
  </si>
  <si>
    <t xml:space="preserve"> - Điều chỉnh cục bộ nền đường đoạn đấu nối với đường Gòng - Hải Tiến; 
 - Điều chỉnh HM Di chuyển đường dây trung thế;
 - Điều chỉnh vật liệu lát vỉa hè;
 - Bổ sung Biển giới thiệu DA;
 - Bổ sung san nền tại các lô TĐC xã Hoằng Tiến;
 - Bổ sung các nội dung chi tiết khác tại các mặt bằng.</t>
  </si>
  <si>
    <t>Sáng Thứ 2 a Bổ sung sớm phần giá trị này</t>
  </si>
  <si>
    <t>17 tỷ / km</t>
  </si>
  <si>
    <t>Lý do điều chỉnh</t>
  </si>
  <si>
    <t>ĐTV: Tr. Đồng</t>
  </si>
  <si>
    <t>TMĐT 
dự kiến
(Triệu đồng)</t>
  </si>
  <si>
    <t>Ngân sách huyện và huy động hợp pháp khác</t>
  </si>
  <si>
    <t>Từ nguồn đấu giá quyền sử dụng đất tại mặt bằng được phê duyệt và huy động hợp pháp khác</t>
  </si>
  <si>
    <t>Địa điểm</t>
  </si>
  <si>
    <t>Dự án đầu tư từ nguồn cân đối ngân sách huyện</t>
  </si>
  <si>
    <t>Các dự án khai thác quỹ đất tại các xã</t>
  </si>
  <si>
    <t>Thị trấn Bút Sơn, huyện Hoằng Hóa</t>
  </si>
  <si>
    <t>Ban quản lý dự án đầu tư xây dựng huyện Hoằng Hóa</t>
  </si>
  <si>
    <t>Thời gian thực hiện</t>
  </si>
  <si>
    <t>Xây dựng hệ thống thoát nước đường ĐH.HH03 (đoạn qua xã Hoằng Xuyên), huyện Hoằng Hóa</t>
  </si>
  <si>
    <t>Đường Hoằng Thành - Hoằng Tân. Hạng mục: bó vỉa, đan rãnh</t>
  </si>
  <si>
    <t>Xây dựng công trình phòng cháy chữa cháy nhà truyền thống huyện Hoằng Hóa</t>
  </si>
  <si>
    <t>Xã Hoằng Xuyên, huyện Hoằng Hóa</t>
  </si>
  <si>
    <t>Các xã: Hoằng Thành, Hoằng Trạch, Hoằng Châu, Hoằng Tân; huyện Hoằng Hóa</t>
  </si>
  <si>
    <t>Tổng mức đầu tư đã duyệt</t>
  </si>
  <si>
    <t>Xã Hoằng Kim, huyện Hoằng Hóa</t>
  </si>
  <si>
    <t>Xây dựng công trình PCCC cho nhà truyền thống với các hạng mục và thiết bị đảm bảo theo quy định về PCCC</t>
  </si>
  <si>
    <t>2022-2023</t>
  </si>
  <si>
    <t>Xây dựng điện chiếu sáng đường Hoằng Quỳ - Hoằng Xuyên</t>
  </si>
  <si>
    <t>Hoằng Quỳ, Hoằng Cát, Hoằng Xuyên</t>
  </si>
  <si>
    <t>Đầu tư xây dựng hệ thống điện chiếu sáng tuyến đường giao thông Hoằng Kim - Hoằng Quỳ với chiều dài khoảng 4,1km</t>
  </si>
  <si>
    <t>Phục vụ tiêu thoát nước mặt đường và nước sinh hoạt trong khu dân cư, nhằm tránh ô nhiễm môi trường và tăng mỹ quan của tuyến đường</t>
  </si>
  <si>
    <t xml:space="preserve">Đầu tư rãnh thoát nước dọc qua khu vực dân cư với chiều dài khoảng 1,0Km. Điểm đầu tại trường THCS Hoằng Xuyên 2; Điểm cuối tại cuối thôn Tây Đại xã Hoằng Xuyên </t>
  </si>
  <si>
    <t>DANH MỤC CÔNG TRÌNH ĐỀ XUẤT CHỦ TRƯƠNG ĐẦU TƯ THỰC HIỆN NĂM 2022</t>
  </si>
  <si>
    <t>Đầu tư xây dựng hệ thống điện chiếu sáng tuyến đường giao thông Hoằng Quỳ - Hoằng Xuyên đảm bảo đồng bộ hạ tầng kỹ thuật, tạo không gian ánh sáng, đảm bảo an toàn cho các phương tiện tham gia giao thông vào ban đêm, góp phần nâng cao mỹ quan đô thị, cải thiện kết nối giao thông cơ sở hạ tầng của khu vực, góp phần phát triển kinh tế xã hội trên địa bàn</t>
  </si>
  <si>
    <t>Đầu tư xây dựng khu dân cư thôn Nam Hạc, xã Hoằng Phong (Mặt bằng quy hoạch số 69/MBQH-UBND ngày 15/7/2021)</t>
  </si>
  <si>
    <t>Hình thành các khu dân cư với hệ thống hạ tầng kỹ thuật đồng bộ phục vụ cho nhu cầu phát triển xã hội đồng thời khai thác quỹ đất có hiệu quả. Nâng cao chất lượng cuộc sống của nhân dân trong xã và các xã lân cận.</t>
  </si>
  <si>
    <t>Xã Hoằng Phong, huyện Hoằng Hóa</t>
  </si>
  <si>
    <t>Diện tích quy hoạch 19.787,5m2. Đầu tư xây dựng hệ thống đường giao thông, vỉa hè, khuôn viên cây xanh, sân thể thao, hệ thống thoát nước, cấp nước sạch, điện chiếu sáng, cấp điện sinh hoạt đồng bộ và công trình phụ trợ khác.</t>
  </si>
  <si>
    <t>Diện tích quy hoạch 26.374m2. Đầu tư xây dựng hệ thống đường giao thông, vỉa hè, cây xanh, hệ thống thoát nước, cấp nước sạch, điện chiếu sáng, cấp điện sinh hoạt đồng bộ và công trình phụ trợ khác.</t>
  </si>
  <si>
    <t>Đầu tư xây dựng khu dân cư thôn Quang Trung, xã Hoằng Thanh (Mặt bằng quy hoạch số 47/MBQH-UBND ngày 10/6/2021)</t>
  </si>
  <si>
    <t>Xã Hoằng Thanh, huyện Hoằng Hóa</t>
  </si>
  <si>
    <t>Lắp đặt thang thoát hiểm, các thiết bị PCCC</t>
  </si>
  <si>
    <t>Đầu tư xây dựng khu dân cư thôn Đồng Lòng, xã Hoằng Tân (Mặt bằng quy hoạch số 41/MBQH-UBND ngày 20/5/2021)</t>
  </si>
  <si>
    <t>Diện tích quy hoạch 3.890,6m2. Đầu tư xây dựng hệ thống đường giao thông, vỉa hè, cây xanh, hệ thống thoát nước, cấp nước sạch, điện chiếu sáng, cấp điện sinh hoạt đồng bộ và công trình phụ trợ khác.</t>
  </si>
  <si>
    <t>Xã Hoằng Tân, huyện Hoằng Hóa</t>
  </si>
  <si>
    <t>Từng bước hoàn thiện cơ sở hạ tầng giao thông, đảm bảo an toàn giao thông, thu hút đầu tư, tạo thuận lợi cho việc đi lại của nhân dân trong khu vực; phục vụ phát triển kinh tế - xã hội của huyện</t>
  </si>
  <si>
    <t>Đầu tư xây dựng bó vỉa, đan rãnh, rãnh xương với chiều dài khoảng 4.3 km.</t>
  </si>
  <si>
    <t>Đầu tư xây dựng khu dân cư thôn 1 Hồng Thái, xã Hoằng Đồng (Mặt bằng quy hoạch số 58/MBQH-UBND ngày 15/7/2021)</t>
  </si>
  <si>
    <t>Diện tích quy hoạch 13.500m2. Đầu tư xây dựng hệ thống đường giao thông, vỉa hè, cây xanh, hệ thống thoát nước, cấp nước sạch, điện chiếu sáng, cấp điện sinh hoạt đồng bộ và công trình phụ trợ khác.</t>
  </si>
  <si>
    <t>Xã Hoằng Đồng, huyện Hoằng Hóa</t>
  </si>
  <si>
    <t>TỔNG CỘNG (I+II)</t>
  </si>
  <si>
    <t>Đầu tư xây dựng khu dân cư thôn Tự Đông, xã Hoằng Quý (Mặt bằng quy hoạch số 08/MBQH-UBND ngày 14/3/2021)</t>
  </si>
  <si>
    <t>Xã Hoằng Quý, huyện Hoằng Hóa</t>
  </si>
  <si>
    <t>Xây dựng đường Hoằng Xuyen - Hoằng Cát, huyện Hoằng Hóa</t>
  </si>
  <si>
    <t>Từng bước hoàn thiện cơ sở hạ tầng giao thông, đảm bảo an toàn giao thông, tạo thuận lợi cho việc đi lại của nhân dân trong khu vực; phục vụ phát triển kinh tế - xã hội của huyện.</t>
  </si>
  <si>
    <t>Xã Hoằng Xuyên, xã Hoằng Cát; huyện Hoằng Hóa</t>
  </si>
  <si>
    <t>Dự kiến</t>
  </si>
  <si>
    <t>Diện tích quy hoạch 19.904,72m2. Đầu tư xây dựng hệ thống đường giao thông, vỉa hè, cây xanh, hệ thống thoát nước, cấp nước sạch, điện chiếu sáng, cấp điện sinh hoạt đồng bộ và công trình phụ trợ khác.</t>
  </si>
  <si>
    <t>Mua sắm thiết bị đền thờ Cao Bá Điển, xã Hoằng Giang, huyện Hoằng Hóa</t>
  </si>
  <si>
    <t>Xây dựng Trường Nhữ Bá Sỹ huyện Hoằng Hóa. Hạng mục: Nhà đa năng, thư viện, hội trường, nhà để xe, thiết bị và các công trình phụ trợ</t>
  </si>
  <si>
    <t>Xây dựng tuyến đường dài khoảng 0,5km theo TCXDVN 104:2007 với điểm đầu kết nối với đường giao thông thuộc mặt bằng quy hoạch số 30/MBQH-UBND ngày    /   /2020 xã Hoằng Xuyên, điểm cuối giao với đường Hoằng Quỳ - Hoằng Xuyên tại xã Hoằng Cát. Chiều rộng nền đường Bn = 20,5m; chiều rộng mặt đường Bm = 10,5m; vỉa hè Bvh = 2x5,0 = 10,0m. Bố trí công trình thoát nước, công trình an toàn giao thông đảm bảo thuận lợi, an toàn khi khai thác, sử dụng.</t>
  </si>
  <si>
    <t>Xã Hoằng Giang, huyện Hoằng Hóa</t>
  </si>
  <si>
    <t>Mua sắm thiết bị, đồ thờ phục vụ việc thờ cúng của dòng họ và nhân dân trong vùng nhăm lưu giữ, bảo tồn và phát huy giá trị di tích, đáp ứng đời sống tín ngưỡng, tâm linh của nhân dân và du khách thập phương; góp phần phát triển kinh tế - xã hội của địa phương.</t>
  </si>
  <si>
    <t>Mua sắm thiết bị khu vực hậu cung, gian chính, các gian bên, đồ tế sự và các thiết bị khác phù hợp với không gian, thời gian hình thành và phát triển của đền thờ.</t>
  </si>
  <si>
    <t>Hoàn thiện cơ sở vật chất nhà trường đảm bảo điều kiện giảng dạy và học tập của giáo viên, học sinh nhằm nâng cao chất lượng giáo dục đào tạo.</t>
  </si>
  <si>
    <t>Xây dựng nhà đa năng, thư viện, nhà để xe; sửa chữa hội trường, mua sắm trang thiết bị và các công trình phụ trợ.</t>
  </si>
  <si>
    <t>Dự án mặt bằng tái định cư đường Thịnh - Đông (giai đoạn 2) và Quốc lộ 10 đi Hải Tiến (giai đoạn 1)</t>
  </si>
  <si>
    <t>Diện tích quy hoạch khoảng 45.000m2. Đầu tư xây dựng hệ thống đường giao thông, vỉa hè, cây xanh, hệ thống thoát nước, cấp nước sạch, điện chiếu sáng, cấp điện sinh hoạt đồng bộ và công trình phụ trợ khác.</t>
  </si>
  <si>
    <t>Đầu tư đồng bộ hạ tầng kỹ thuật đô thị, hình thành khu dân cư, tái định cư mới phục vụ công tác giải phóng mặt bằng để thực hiện đầu tư xây dựng dự án Nâng cấp, mở rộng tuyến đường Thịnh - Đông, huyện Hoằng Hóa (giai đoạn 2); đáp ứng nhu cầu về đất ở tái định cư, ổn định đời sống tinh thần, văn hóa của người dân, góp phần phát triển kinh tế - xã hội trên địa bàn huyện.</t>
  </si>
  <si>
    <t>Xã Hoằng Đông, huyện Hoằng Hóa</t>
  </si>
  <si>
    <t>Diện tích quy hoạch khoảng 27.000m2. Đầu tư xây dựng hệ thống đường giao thông, vỉa hè, cây xanh, hệ thống thoát nước, cấp nước sạch, điện chiếu sáng, cấp điện sinh hoạt đồng bộ và công trình phụ trợ khác.</t>
  </si>
  <si>
    <t>Đầu tư đồng bộ hạ tầng kỹ thuật đô thị, hình thành khu dân cư, tái định cư mới phục vụ công tác giải phóng mặt bằng để thực hiện đầu tư xây dựng dự án Đường từ Quốc lộ 10 đi Khu du lịch Hải Tiến, huyện Hoằng Hóa (giai đoạn 1); đáp ứng nhu cầu về đất ở tái định cư, ổn định đời sống tinh thần, văn hóa của người dân, góp phần phát triển kinh tế - xã hội trên địa bàn huyện.</t>
  </si>
  <si>
    <t>Diện tích quy hoạch 28.000m2. Đầu tư xây dựng hệ thống đường giao thông, vỉa hè, cây xanh, hệ thống thoát nước, cấp nước sạch, điện chiếu sáng, cấp điện sinh hoạt đồng bộ và công trình phụ trợ khác.</t>
  </si>
  <si>
    <t>Đầu tư xây dựng khu dân cư thôn 5, thôn 6, thôn 7, xã Hoằng Kim (Mặt bằng quy hoạch số 103/MBQH-UBND ngày 16/12/2019)</t>
  </si>
  <si>
    <t>Đầu tư xây dựng khu dân cư, tái định cư thôn Quang Trung và Đông Tân, xã Hoằng Đông, huyện Hoằng Hóa</t>
  </si>
  <si>
    <t>Đầu tư xây dựng khu dân cư, tái định cư thôn Hoằng Lọc, thị trấn Bút Sơn, huyện Hoằng Hóa</t>
  </si>
  <si>
    <t>DANH MỤC CÔNG TRÌNH ĐỀ XUẤT CHỦ TRƯƠNG ĐẦU TƯ THỰC HIỆN NĂM 2022 (DỰ KIẾN THÁNG 12-2022)</t>
  </si>
  <si>
    <t>TMĐT</t>
  </si>
  <si>
    <t>Tổng mức đầu tư sau điều chỉnh</t>
  </si>
  <si>
    <t>Xã Hoằng Trường</t>
  </si>
  <si>
    <t>2021-2023</t>
  </si>
  <si>
    <t>Đầu tư đồng bộ hạ tầng kỹ thuật đô thị, hình thành khu dân cư, tái định cư mới phục vụ công tác giải phóng mặt bằng đồng thời tạo nguồn đối ứng kinh phí để thực hiện đầu tư xây dựng dự án Nâng cấp, mở rộng tuyến đường Thịnh - Đông, huyện Hoằng Hóa (giai đoạn 2); đáp ứng nhu cầu về đất ở tái định cư, ổn định đời sống tinh thần, văn hóa của người dân, góp phần phát triển kinh tế - xã hội trên địa bàn huyện</t>
  </si>
  <si>
    <t>Xã Hoằng Đông</t>
  </si>
  <si>
    <t>Đầu tư đồng bộ hạ tầng kỹ thuật đô thị, hình thành khu dân cư, tái định cư mới phục vụ công tác giải phóng mặt bằng để thực hiện đầu tư xây dựng dự án Đường từ Quốc lộ 10 đi khu du lịch Hải Tiến, huyện Hoằng Hóa (giai đoạn 1); đáp ứng nhu cầu về đất ở tái định cư, ổn định đời sống tinh thần, văn hóa của người dân, góp phần phát triển kinh tế - xã hội trên địa bàn huyện</t>
  </si>
  <si>
    <t>thị trấn Bút Sơn</t>
  </si>
  <si>
    <t>Khu tái định cư và tạo nguồn đối ứng thực hiện dự án Đường giao thông từ kênh Phúc Ngư đến thôn Giang Sơn, xã Hoằng Trường, huyện Hoằng Hóa</t>
  </si>
  <si>
    <t>2019-2024</t>
  </si>
  <si>
    <t xml:space="preserve">Mặt bằng khai thác quỹ đất tạo nguồn và tái định cư thực hiện các dự án </t>
  </si>
  <si>
    <t>Diện tích quy hoạch khoảng 9,8 ha. Đầu tư xây dựng hệ thống đường giao thông, vỉa hè, cây xanh, hệ thống thoát nước, cấp nước sạch, điện chiếu sáng, cấp điện sinh hoạt đồng bộ, san nền và công trình phụ trợ khác</t>
  </si>
  <si>
    <t>Xã Hoằng Phụ</t>
  </si>
  <si>
    <t>Hạ tầng kỹ thuật mặt bằng phân lô đất ở tại thôn Nga Phú, xã Hoằng Xuân, huyện Hoằng Hóa</t>
  </si>
  <si>
    <t>Bổ sung san nền, tạo điều kiện tốt nhất về mặt bằng để tái định cư cho các hộ dân</t>
  </si>
  <si>
    <t>Xã Hoằng Xuân</t>
  </si>
  <si>
    <t>DANH MỤC CÁC DỰ ÁN ĐỀ XUẤT UBND HUYỆN DỪNG, CHẤM DỨT THỰC HiỆN</t>
  </si>
  <si>
    <t>(Kèm theo Công văn số              /QLDA-KTTĐ ngày          /11/2022 của Giám đốc Ban quản lý dự án đầu tư xây dựng huyện Hoằng Hóa)</t>
  </si>
  <si>
    <t>Giá trị: triệu đồng</t>
  </si>
  <si>
    <t>STT</t>
  </si>
  <si>
    <t>Thuộc Nghị quyết số</t>
  </si>
  <si>
    <t>Lý do đề nghị dừng dự án</t>
  </si>
  <si>
    <t>Xây dựng Sa bàn huyện Hoằng Hóa</t>
  </si>
  <si>
    <t>Đầu tư xây dựng hệ thống sa bàn của huyện</t>
  </si>
  <si>
    <t xml:space="preserve">Nghị quyết số 152/NQ-HĐND ngày 18/12/2020 </t>
  </si>
  <si>
    <t>Không có tiêu chuẩn, định mức các công việc làm cơ sở triển khai dự án</t>
  </si>
  <si>
    <t>Sửa chữa, cải tạo UBND huyện Hoằng Hóa</t>
  </si>
  <si>
    <t>Nâng cấp, sửa chữa các nhà làm việc, nhà ăn đã xuống cấp, hư hỏng, cải tạo lại khuôn viên, mua sắm một số thiết bị phục vụ làm việc</t>
  </si>
  <si>
    <t>NQ số 153/NQ-HĐND ngày 19/7/2021</t>
  </si>
  <si>
    <t>Không thực hiện do đã triển khai dự án mới theo NQ số 211/NQ-HĐND ngày 27/10/2021; NQ điều chỉnh số 85/NQ-HĐND ngày 08/7/2022 của HĐND huyện</t>
  </si>
  <si>
    <t>Hạ tầng kỹ thuật khu dân cư  thôn Phượng Ngô 2, xã Hoằng Lưu, huyện Hoằng Hóa (Mặt bằng số 09)</t>
  </si>
  <si>
    <t>Diện tích quy hoạch 1,23ha. Đầu tư hệ thống đường giao thông nội khu được xây dựng với dạng mặt cắt: Bm=7,5m; vỉa hè: 1,5-2,5m. Hệ thống cấp nước, thoát nước. Hệ thống điện chiếu sáng và sinh hoạt</t>
  </si>
  <si>
    <t>Dừng do quy hoạch chung của xã Hoằng Lưu là đất bệnh viện</t>
  </si>
  <si>
    <t>Mặt bằng phân lô đất ở tại xã Hoằng Thịnh, huyện Hoằng Hóa (Mặt bằng số 02 - TĐ)</t>
  </si>
  <si>
    <t>Đầu tư đồng bộ hạ tầng kỹ thuật với diện tích quy hoạch khoảng 2,1ha. Bao gồm: Xây dựng hệ thống đường giao thông, vỉa hè, cây xanh, hệ thống thoát nước, cấp nước sạch, điện chiếu sáng, cấp điện sinh hoạt đồng bộ và công trình phụ trợ khác.</t>
  </si>
  <si>
    <t>NQ số 215/NQ-HĐND ngày 27/10/2021</t>
  </si>
  <si>
    <t>Dừng dự án do trùng với dự án quy hoạch khu đô thị mới Thịnh - Lộc</t>
  </si>
  <si>
    <t>Mặt bằng phân lô đất ở tại xã Hoằng Thịnh, huyện Hoằng Hóa (Mặt bằng số 03 - TĐ)</t>
  </si>
  <si>
    <t>Đầu tư đồng bộ hạ tầng kỹ thuật với diện tích quy hoạch khoảng 2,4ha. Bao gồm: Xây dựng hệ thống đường giao thông, vỉa hè, cây xanh, hệ thống thoát nước, cấp nước sạch, điện chiếu sáng, cấp điện sinh hoạt đồng bộ và công trình phụ trợ khác.</t>
  </si>
  <si>
    <t>NQ số 216/NQ-HĐND ngày 27/10/2021</t>
  </si>
  <si>
    <t>Mặt bằng phân lô đất ở tại xã Hoằng Thịnh, huyện Hoằng Hóa (Mặt bằng số 08 - QL)</t>
  </si>
  <si>
    <t>Đầu tư xây dựng mới, đồng bộ hệ thống hạ tầng kỹ thuật khu dân cư với quy mô khoảng 1.5 ha; gồm các hạng mục: Giao thông vỉa hè cây xanh, cấp thoát nước, cấp điện chiếu sáng, điện sinh hoạt</t>
  </si>
  <si>
    <t>NQ số 162/NQ-HĐND ngày 19/7/2021</t>
  </si>
  <si>
    <t>Đường giao thông từ cống Phúc Ngư xã Hoằng Trường đến khu du lịch sinh thái biển và nghĩ dưỡng Flamingo Linh Trường, huyện Hoằng Hóa</t>
  </si>
  <si>
    <t>Đầu tư xây dựng mới tuyến đường từ cống Phúc Ngư xã Hoằng trường đến khu du lịch sinh thái biển và nghỉ dưỡng Flamingo Linh Trường, chiều dài khoảng 2,2km, Bn=23,0m, Bm=2x7,5m, Bh=2x4,0m; Xây dựng kè chắn sóng; cây xanh; chiếu sáng; trồng dừa tạo cảnh quan bờ biển và một số hạng mục khác.</t>
  </si>
  <si>
    <t>NQ số 212/NQ-HĐND ngày 27/10/2021; NQ điều chỉnh số 84/NQ-HĐND ngày 08/7/2022</t>
  </si>
  <si>
    <t>Do việc điều chỉnh hướng tuyến không trùng với quy hoạch và đoạn đầu tuyến nằm ngoài mực nước triều cao trung bình nhiều năm</t>
  </si>
  <si>
    <t>PHỤ BIỂU 01: DANH MỤC CÔNG TRÌNH ĐỀ XUẤT CHỦ TRƯƠNG ĐẦU TƯ MỚI THÁNG 3 NĂM 2023</t>
  </si>
  <si>
    <t>Diện tích quy hoạch khoảng 4,53ha. Đầu tư xây dựng hệ thống đường giao thông, vỉa hè, cây xanh, hệ thống thoát nước, cấp nước sạch, điện chiếu sáng, cấp điện sinh hoạt đồng bộ, san nền và công trình phụ trợ khác</t>
  </si>
  <si>
    <t>Đầu tư đồng bộ hạ tầng kỹ thuật đô thị, hình thành khu dân cư, tái định cư mới phục vụ công tác giải phóng mặt bằng để thực hiện đầu tư xây dựng dự án Nâng cấp, mở rộng tuyến đường Thịnh - Đông, huyện Hoằng Hóa (giai đoạn 2); đáp ứng nhu cầu về đất ở tái định cư, ổn định đời sống tinh thần, văn hóa của người dân, góp phần phát triển kinh tế - xã hội trên địa bàn huyện</t>
  </si>
  <si>
    <t>Khu tái định cư để thực hiện dự án Đường từ Quốc lộ 10 đi khu du lịch Hải Tiến, huyện Hoằng Hóa (giai đoạn 1)</t>
  </si>
  <si>
    <t>Diện tích quy hoạch khoảng 1,7ha. Đầu tư xây dựng hệ thống đường giao thông, vỉa hè, cây xanh, hệ thống thoát nước, cấp nước sạch, điện chiếu sáng, cấp điện sinh hoạt đồng bộ, san nền và công trình phụ trợ khác</t>
  </si>
  <si>
    <t>Diện tích quy hoạch khoảng 6,3ha. Đầu tư xây dựng hệ thống đường giao thông, vỉa hè, cây xanh, hệ thống thoát nước, cấp nước sạch, điện chiếu sáng, cấp điện sinh hoạt đồng bộ, san nền và công trình phụ trợ khác</t>
  </si>
  <si>
    <t>Đầu tư đồng bộ hạ tầng kỹ thuật đô thị, hình thành khu dân cư, tái định cư mới phục vụ công tác giải phóng mặt bằng đồng thời tạo nguồn đối ứng kinh phí để thực hiện đầu tư xây dựng dự án Đường giao thông từ kênh Phúc Ngư đến thôn Giang Sơn, xã Hoằng Trường, huyện Hoằng Hóa; đáp ứng nhu cầu về đất ở tái định cư, ổn định đời sống tinh thần, văn hóa của người dân, góp phần phát triển kinh tế - xã hội trên địa bàn huyện</t>
  </si>
  <si>
    <t>Điện chiếu sáng và trang trí từ đường Thịnh - Đông đến đình làng Phượng Lịch, xã Hoằng Lưu và từ đường Gòng - Hải Tiến đến đền Cao Tư, xã Hoằng Đạo, huyện Hoằng Hóa</t>
  </si>
  <si>
    <t>Đầu tư xây dựng hệ thống điện chiếu sáng kết hợp trang trí qua đình làng Phượng Lịch xã Hoằng Lưu với chiều dài khoảng 800m và đền Cao Tư xã Hoằng Đạo với chiều dài tuyến khoảng 1.000m</t>
  </si>
  <si>
    <t>Nguồn vốn đầu tư bố trí từ nguồn Trung ương bổ sung vốn sự nghiệp thực hiện chương trình MTQG năm 2023 3,0 tỷ đồng, vốn ngân sách huyện và huy động hợp pháp khác 2,0 tỷ đồng</t>
  </si>
  <si>
    <t>Đầu tư xây dựng hệ thống điện chiếu sáng, điện trang trí các tuyến đường qua các điểm du lịch của địa phương nhằm từng bước hoàn chỉnh cơ sở hạ tầng giao thông, tạo không gian ánh sáng, cải thiện kết nối giao thông cơ sở hạ tầng của khu vực, tạo điểm nhấn về kiến trúc cảnh quan, tô đậm truyền thống văn hóa và phát huy giá trị lịch sử góp phần phát triển kinh tế du lịch nông thôn trên địa bàn huyện.</t>
  </si>
  <si>
    <t xml:space="preserve">xã Hoằng Lưu, xã Hoằng Đạo, </t>
  </si>
  <si>
    <t>Năm 2023-2024</t>
  </si>
  <si>
    <t>Năm 2023-2025</t>
  </si>
  <si>
    <t>2021-2024</t>
  </si>
  <si>
    <t>Đầu tư đồng bộ hạ tầng kỹ thuật đô thị, hình thành khu dân cư, tái định cư mới phục vụ công tác giải phóng mặt bằng đồng thời tạo nguồn đối ứng kinh phí để thực hiện đầu tư xây dựng dự án Đường giao thông đến khu du lịch sinh thái biển Hải Tiến huyện Hoằng Hóa; đáp ứng nhu cầu về đất ở tái định cư, ổn định đời sống tinh thần, văn hóa của người dân, góp phần phát triển kinh tế - xã hội trên địa bàn huyện</t>
  </si>
  <si>
    <t>Khu tái định cư để thực hiện dự án Nâng cấp, mở rộng tuyến đường Thịnh Đông - giai đoạn 2, huyện Hoằng Hóa, tỉnh Thanh Hóa</t>
  </si>
  <si>
    <t>Khu tái định cư và tạo nguồn đối ứng thực hiện dự án Nâng cấp, mở rộng tuyến đường Thịnh Đông, huyện Hoằng Hóa (giai đoạn 2)</t>
  </si>
  <si>
    <t>Đường nối Quốc lộ 1A với Quốc lộ 45 từ xã Hoằng Kim, huyện Hoằng Hóa đến xã Thiệu Long, huyện Thiệu Hóa (đoạn từ nút giao với Quốc lộ 1A đến đầu cầu vượt sông Mã)</t>
  </si>
  <si>
    <t>Hoằng Kim, Hoằng Xuân, Hoằng Trung</t>
  </si>
  <si>
    <t>Xã Hoằng Sơn</t>
  </si>
  <si>
    <t>Bổ sung san nền và các công trình phụ trợ khác cho mặt bằng</t>
  </si>
  <si>
    <t>Vốn từ nguồn đấu giá quyền sử dụng đất tại mặt bằng được phê duyệt</t>
  </si>
  <si>
    <t>PHỤ BIỂU 02: DANH MỤC DỰ ÁN ĐIỂU CHỈNH CHỦ TRƯƠNG ĐẦU TƯ  THÁNG 3 NĂM 2023</t>
  </si>
  <si>
    <t>Hùng Điện</t>
  </si>
  <si>
    <t>Ô. Nở + Ô. Hồng Căn</t>
  </si>
  <si>
    <t>A. Loan Nhã</t>
  </si>
  <si>
    <t>Tuấn - Anh Thế</t>
  </si>
  <si>
    <t>DT đất ở 8861 m2</t>
  </si>
  <si>
    <t>DT đất ở 7795 m2</t>
  </si>
  <si>
    <t>Bổ sung tuyến nhánh đoạn từ đường Quốc lộ 1A 45 đến nhà máy Z111 với quy mô: 
- Chiều dài khoảng 2,5km;
- Điểm đầu: giao với tuyến QL1A-45 tại Km1+324 thuộc xã Hoằng Kim;
- Điểm cuối: giao với QL1A thuộc địa phận thôn Tự Nhiên, xã Hoằng Trung;
- Đầu tư nút giao đầu tuyến và cuối tuyến: ...............
- Các đoạn còn lại đầu tư: Bn=.....m; Bm=.... m.</t>
  </si>
  <si>
    <t>Tuyến đường sau khi hoàn thành sẽ phân luồng giao thông, giảm tải cho đường QL1A đoạn qua xã Hoằng Trung và Hoằng Kim. Từng bước hiện thực hóa quy hoạch xây dựng vùng huyện Hoằng Hóa,</t>
  </si>
  <si>
    <t>Theo NQ154/NQ-HĐND ngày 19/7/2021 của HĐND huyện về phê duyệt chủ trương đầu tư dự án</t>
  </si>
  <si>
    <t>Nội dung điều chỉnh hoàn thiện sau tí</t>
  </si>
  <si>
    <t>Đối ngoại</t>
  </si>
  <si>
    <t>- H. Tiến: Ô. Sự;
- H. Thanh: Liên danh A. Kiên Be + ….</t>
  </si>
  <si>
    <t>Sửa chữa, cải tạo và mua sắm thiết bị trung tâm hội nghị huyện Hoằng Hoá</t>
  </si>
  <si>
    <t xml:space="preserve">Tạo điều kiện về cơ sở vật chất cho tập luyện thể dục thể thao cho cán bộ, nhân viên khối Huyện ủy, HĐND và các đoàn thể </t>
  </si>
  <si>
    <t xml:space="preserve">Bổ sung hạng mục cải tạo nhà luyện tập thể dục, thể thao cho cán bộ, nhân viên khối Huyện ủy, HĐND và các đoàn thể </t>
  </si>
  <si>
    <t>Năm 2022-2024</t>
  </si>
  <si>
    <t>GPMB</t>
  </si>
  <si>
    <t>TMĐT 
(Triệu đồng)</t>
  </si>
  <si>
    <t>Trong đó</t>
  </si>
  <si>
    <t>Tổng mức đầu tư</t>
  </si>
  <si>
    <t>Khu tái định cư và tạo nguồn đối ứng thực hiện dự án Đường giao thông đến khu du lịch sinh thái biển Hải Tiến huyện Hoằng Hóa (vị trí tại xã Hoằng Tiến)</t>
  </si>
  <si>
    <t>Khu tái định cư và tạo nguồn đối ứng thực hiện dự án Đường giao thông đến khu du lịch sinh thái biển Hải Tiến huyện Hoằng Hóa (vị trí tại xã Hoằng Thanh)</t>
  </si>
  <si>
    <t>Diện tích quy hoạch khoảng 5,2ha. Đầu tư xây dựng hệ thống đường giao thông, vỉa hè, cây xanh, hệ thống thoát nước, cấp nước sạch, điện chiếu sáng, cấp điện sinh hoạt đồng bộ, san nền và công trình phụ trợ khác</t>
  </si>
  <si>
    <t>Diện tích quy hoạch khoảng 3,8ha. Đầu tư xây dựng hệ thống đường giao thông, vỉa hè, cây xanh, hệ thống thoát nước, cấp nước sạch, điện chiếu sáng, cấp điện sinh hoạt đồng bộ, san nền và công trình phụ trợ khác</t>
  </si>
  <si>
    <t xml:space="preserve">Xã Hoằng Tiến, </t>
  </si>
  <si>
    <t>xã Hoằng Thanh</t>
  </si>
  <si>
    <t>Năm 2023-2026</t>
  </si>
  <si>
    <t>Sửa chữa, cải tạo trụ sở Cơ quan HĐND-UBND huyện Hoằng Hóa</t>
  </si>
  <si>
    <t>Nâng cấp, sửa chữa các nhà làm việc, nhà ăn đã xuống cấp, hư hỏng, cải tạo lại khuôn viên, mua sắm một số thiết bị phục vụ làm việc.</t>
  </si>
  <si>
    <t>Sửa chữa, cải tạo cơ quan HĐND-UBND huyện Hoằng Hóa nhằm góp phần phục vụ tốt hơn nhu cầu làm việc của cán bộ công chức, tạo điều kiện thuận lợi cho công tác điều hành, quản lý kinh tế -xã hội -an ninh trật tự trên điah bàn huyện, đồng thời đáp ứng được yêu cầu phục vụ nhân dân trong địa bàn huyện</t>
  </si>
  <si>
    <t>Năm 2023-2027</t>
  </si>
  <si>
    <t>Nâng cấp cải tạo đường giao thông ven biển Hải Tiến xã Hoằng Tiến - Hoằng Thanh huyện Hoằng Hóa</t>
  </si>
  <si>
    <t>Hiện nay dự án đang được tổ chức lựa chọn nhà thầu. Để đảm bảo an toàn cho người và phương tiện tham gia giao thông cũng như tăng mỹ quan của tuyến đường nhằm tạo điểm nhấn thu hút du khách về với khu du lịch biển thì việc bổ sung các hạng mục của dự án là cần thiết.</t>
  </si>
  <si>
    <t xml:space="preserve">- Bổ sung số lượng cổng trang trí, cây trang trí, đèn chiếu sáng; trang trí hàng dừa vỉa hè bằng đèn led, lát đá vỉa hè, bố trí vạch sơn đảm bảo an toàn giao thông hướng dẫn phương tiện tham gia giao thông từ trước quảng trường biển vào tuyến đường; bổ sung một số nội dung khác đảm bảo chất lượng, tuổi thọ của dự án.
- Điều chỉnh tổng mức đầu tư của dự án.
</t>
  </si>
  <si>
    <t>xã Hoằng Tiến và xã Hoằng Thanh</t>
  </si>
  <si>
    <t>Tham chiếu chi phí xây dựng theo suất đầu tư của BXD
 (10 tỷ452/1ha)</t>
  </si>
  <si>
    <t>CP xây dựng; chi phí QLDA; Chi phí tư vấn; Chi phí khác; dự phòng</t>
  </si>
  <si>
    <t>Chưa xác định</t>
  </si>
  <si>
    <t>Ô. Sự</t>
  </si>
  <si>
    <t>Liên danh A. Kiên Be + ….</t>
  </si>
  <si>
    <t>để tháng 6</t>
  </si>
  <si>
    <r>
      <t xml:space="preserve">Tổng mức đầu tư dự kiến 
</t>
    </r>
    <r>
      <rPr>
        <b/>
        <i/>
        <sz val="12"/>
        <color indexed="8"/>
        <rFont val="Times New Roman"/>
        <family val="1"/>
      </rPr>
      <t>(triệu đồng)</t>
    </r>
  </si>
  <si>
    <t>Chủ đầu tư/Bên mời thầu</t>
  </si>
  <si>
    <t>Đvt: Tr. Đồng</t>
  </si>
  <si>
    <t xml:space="preserve">Tờ trình </t>
  </si>
  <si>
    <t>TMĐT sau điều chỉnh</t>
  </si>
  <si>
    <t>Tờ trình số 128/TTr-UBND ngày 10/5/2023 về việc quyết định điều chỉnh chủ trương đầu tư dự án: Hạ tầng kỹ thuật mặt bằng phân lô đất ở tại thôn Nga Phú 2, xã Hoằng Xuân, huyện Hoằng Hóa</t>
  </si>
  <si>
    <t>Ban quản lý dự án đầu tư xây dựng huyện</t>
  </si>
  <si>
    <t>Năm 2024-2026</t>
  </si>
  <si>
    <t>Nâng cấp, cải tạo đường Bắc kênh Nam, đoạn từ đường ĐH-HH40 (thị trấn But Sơn) đến MB04 xã Hoằng Đạo, huyện Hoằng Hóa</t>
  </si>
  <si>
    <t>Thị trấn Bút Sơn và xã Hoằng Đạo</t>
  </si>
  <si>
    <t>Vốn ngân sách tỉnh hỗ trợ, ngân sách huyện và huy động hợp pháp khác</t>
  </si>
  <si>
    <t>Xã Hoằng Quỳ</t>
  </si>
  <si>
    <t>Đảm bảo giao thông thuận lợi cho người dân; từng bước hoàn thiện hạ tầng kỹ thuật, hạ tầng giao thông tạo điều kiện phát triển kinh tế, xã hội, nâng cao chất lượng cuộc sống của nhân dân xã Hoằng Quỳ, huyện Hoằng Hóa. Đáp ứng yêu cầu về nông thôn mới nâng cao, nông thôn mới kiểu mẫu</t>
  </si>
  <si>
    <t>Xây dựng tuyến đường giao thông chiều dài khoảng L=3,5km với chiều rộng mặt đường Bm= 7,5m, hè đường, công trình thoát nước. Điểm đầu tuyến giao với đường huyện ĐH.HH40 (thị trấn Bút Sơn); điểm cuối tại MB04 xã Hoằng Đạo.</t>
  </si>
  <si>
    <t>Đường giao thông từ Quốc lộ 1A (đoạn nút giao đường Quỳ - Xuyên) đến Kênh Nam (qua thôn Trọng Hậu, xã Hoằng Quỳ), huyện Hoằng Hóa</t>
  </si>
  <si>
    <t>DANH MỤC CÔNG TRÌNH ĐỀ XUẤT CHỦ TRƯƠNG ĐẦU TƯ MỚI THÁNG 3 NĂM 2024</t>
  </si>
  <si>
    <t>Xây dựng tuyến đường giao thông chiều dài khoảng L=0,25km với chiều rộng nền đường Bn=20,5m, chiều rộng mặt đường Bm= 10,5m, chiều rộng vỉa hè Bh=2x5,0=10,0m; các công trình thoát nước, an toàn giao thông. Điểm đầu tuyến tại nút giao Quỳ - Xuyên; điểm cuối tại bờ Nam kênh Nam</t>
  </si>
  <si>
    <t>Kết nối đồng bộ hệ thống giao thông, đảm bảo giao thông thuận lợi cho sinh hoạt của nhân dân; từng bước hoàn thiện hạ tầng kỹ thuật, hạ tầng giao
thông tạo điều kiện phát triển kinh tế, xã hội.</t>
  </si>
  <si>
    <t>Xây dựng đường giao thông nối từ tỉnh lộ 510 (ngã tư Gòng) đến xã Hoằng Ngọc (cây xăng Ngọc Đỉnh), huyện Hoằng Hóa</t>
  </si>
  <si>
    <t>Điều chỉnh nút giao cuối tuyến bằng giải pháp thiết kế nút giao đảo trung tâm. Tổ chức giao thông bằng hệ thống vạch sơn, biển báo, đèn cảnh báo giao thông, đảo vòng xuyến nhằm chuyển các xung đột nguy hiểm kiểu giao cắt trực tiếp thành xung đột trộn dòng đảm bảo an toàn cho các phương tiện qua nút giao. Bổ sung điện chiếu sáng, các cột cần vươn dẫn hướng và trồng cây xanh ở các đảo tạo điểm nhấn</t>
  </si>
  <si>
    <t>Điểm cuối tuyến của dự án hình thành nút giao ngã 5 tạo thành nhiều điểm xung đột, giao cắt tiềm ấn nguy cơ mất an toàn giao thông. Mặt khác để tạo điểm nhấn về kiến trúc cảnh quan cho khu vực cửa ngõ đến khu du lịch sinh thái biển Hải Tiến cần thiết cải tạo mở rộng nút giao, bổ sung hệ thống biển báo, vạch sơn, điện chiếu sáng đản bảo an toàn cho người và phương tiện tham gia giao thông</t>
  </si>
  <si>
    <t>Vốn ngân sách Trung ương thực hiện Chương trình mục tiêu quốc gia xây dựng nông thôn mới hỗ trợ 14,0 tỷ đồng (theo Nghị quyết số 397/NQ-HĐND ngày 12/7/2023 của HĐND tỉnh Thanh Hóa); ngân sách huyện (đối ứng nguồn vốn ngân sách Trung ương thực hiện Chương trình mục tiêu quốc gia xây dựng nông thôn mới)</t>
  </si>
  <si>
    <t>PHỤ BIỂU DANH MỤC DỰ ÁN ĐIỂU CHỈNH CHỦ TRƯƠNG ĐẦU TƯ THÁNG 01 NĂM 2025</t>
  </si>
  <si>
    <t>UBND xã Hoằng Phú</t>
  </si>
  <si>
    <t>Xã Hoằng Phú</t>
  </si>
  <si>
    <t>Năm 2026</t>
  </si>
  <si>
    <t>Sự cần thiết đầu tư</t>
  </si>
  <si>
    <t>Ngân sách xã</t>
  </si>
  <si>
    <r>
      <t xml:space="preserve">Tổng mức đầu tư dự kiến 
</t>
    </r>
    <r>
      <rPr>
        <b/>
        <i/>
        <sz val="12"/>
        <rFont val="Times New Roman"/>
        <family val="1"/>
      </rPr>
      <t>(triệu đồng)</t>
    </r>
  </si>
  <si>
    <t>Nâng cấp, cải tạo cổng chào và lắp đặt hệ thống pano trên địa bàn xã Hoằng Phú, tỉnh Thanh Hoá</t>
  </si>
  <si>
    <t>Nâng cấp, Cải tạo các cổng chào, pano cũ kỹ, xuống cấp, bạc màu hoặc không còn phù hợp. Xây dựng mới hoặc thay thế bằng hệ thống pano hiện đại, đồng bộ, tạo diện mạo khang trang, văn minh cho địa phương. Qua đó nâng cao hiệu quả tuyên truyền về xây dựng nông thôn mới, đô thị văn minh, các chủ trương của Đảng, chính sách pháp luật của Nhà nước</t>
  </si>
  <si>
    <t>Đầu tư nâng cấp, Cải tạo 03 cổng chào (Cổng chào Hoằng Phú, cổng chào Hoằng Trung, cổng chào Hoằng Kim); Sữa chữa, lắp đặt mới khoảng 115 pano hiện đại, đồng bộ dọc các tuyến đường Phú Giang, đường nối QL1A đi QL 45, đường Kim Quỳ …</t>
  </si>
  <si>
    <t>Một số cổng chào, pano trên địa bàn xã Hoằng Phú được đầu tư từ lâu, đã xuống cấp, một số tuyến đường mới hoàn thành chưa được lắp đặt các pano cần được cải tạo, sữa chữa và lắp đặt mới để đảm bảo đồng bộ trong quá trình đầu tư, đáp ứng điều kiện để nâng cao hiệu quả tuyên truyền về xây dựng nông thôn mới, đô thị văn minh, các chủ trương của Đảng, chính sách pháp luật của Nhà nước. Việc đầu tư dự án là hết sức cần thiết</t>
  </si>
  <si>
    <t xml:space="preserve">DANH MỤC DỰ ÁN ĐẦU TƯ NĂM 2026 (ĐỢT 3) </t>
  </si>
  <si>
    <t>Dự án đề xuất bổ sung danh mục dự án đầu tư năm 2026 (đợt 3)</t>
  </si>
  <si>
    <t>(Kèm theo Tờ trình số          /TTr-UBND ngày        tháng 06 năm 2026 của Đảng ủy cơ quan UBND xã Hoằng Phú)</t>
  </si>
  <si>
    <t>(Kèm theo NQ số  /NQ-HĐND ngày     tháng 06 năm 2026 của HĐND xã Hoằng Phú)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</si>
</sst>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64" formatCode="_(* #,##0.00_);_(* \(#,##0.00\);_(* &quot;-&quot;??_);_(@_)"/>
    <numFmt numFmtId="165" formatCode="_-* #,##0.00\ _₫_-;\-* #,##0.00\ _₫_-;_-* &quot;-&quot;??\ _₫_-;_-@_-"/>
    <numFmt numFmtId="166" formatCode="_(* #,##0_);_(* \(#,##0\);_(* &quot;-&quot;??_);_(@_)"/>
    <numFmt numFmtId="167" formatCode="0.00&quot; ha&quot;"/>
    <numFmt numFmtId="168" formatCode="0&quot;/QĐ-UBND&quot;"/>
    <numFmt numFmtId="169" formatCode="0.000&quot; ha&quot;"/>
    <numFmt numFmtId="170" formatCode="0.000"/>
    <numFmt numFmtId="171" formatCode="0.00&quot; (ha)&quot;"/>
    <numFmt numFmtId="172" formatCode="#,##0.000"/>
  </numFmts>
  <fonts count="44" x14ac:knownFonts="1">
    <font>
      <sz val="11"/>
      <color theme="1"/>
      <name val="Calibri"/>
      <family val="2"/>
      <scheme val="minor"/>
    </font>
    <font>
      <b/>
      <sz val="12"/>
      <color indexed="8"/>
      <name val="Times New Roman"/>
      <family val="1"/>
    </font>
    <font>
      <sz val="12"/>
      <color indexed="8"/>
      <name val="Times New Roman"/>
      <family val="1"/>
    </font>
    <font>
      <sz val="11"/>
      <name val="Times New Roman"/>
      <family val="1"/>
    </font>
    <font>
      <sz val="12"/>
      <name val="Times New Roman"/>
      <family val="1"/>
    </font>
    <font>
      <sz val="11"/>
      <name val="Times New Roman"/>
      <family val="1"/>
      <charset val="163"/>
    </font>
    <font>
      <sz val="10"/>
      <name val="Times New Roman"/>
      <family val="1"/>
    </font>
    <font>
      <b/>
      <sz val="11"/>
      <name val="Times New Roman"/>
      <family val="1"/>
    </font>
    <font>
      <sz val="11"/>
      <color indexed="8"/>
      <name val="Arial"/>
      <family val="2"/>
    </font>
    <font>
      <sz val="10"/>
      <name val="Arial"/>
      <family val="2"/>
    </font>
    <font>
      <b/>
      <sz val="12"/>
      <name val="Times New Roman"/>
      <family val="1"/>
      <charset val="163"/>
    </font>
    <font>
      <b/>
      <i/>
      <sz val="12"/>
      <name val="Times New Roman"/>
      <family val="1"/>
    </font>
    <font>
      <b/>
      <u/>
      <sz val="12"/>
      <name val="Times New Roman"/>
      <family val="1"/>
    </font>
    <font>
      <b/>
      <sz val="12"/>
      <name val="Times New Roman"/>
      <family val="1"/>
    </font>
    <font>
      <i/>
      <sz val="13"/>
      <name val="Times New Roman"/>
      <family val="1"/>
    </font>
    <font>
      <i/>
      <sz val="12"/>
      <name val="Times New Roman"/>
      <family val="1"/>
    </font>
    <font>
      <b/>
      <sz val="13"/>
      <name val="Times New Roman"/>
      <family val="1"/>
      <charset val="163"/>
    </font>
    <font>
      <b/>
      <i/>
      <u/>
      <sz val="12"/>
      <name val="Times New Roman"/>
      <family val="1"/>
    </font>
    <font>
      <sz val="11"/>
      <color indexed="8"/>
      <name val="Calibri"/>
      <family val="2"/>
    </font>
    <font>
      <sz val="12"/>
      <color indexed="8"/>
      <name val="Times New Roman"/>
      <family val="1"/>
    </font>
    <font>
      <i/>
      <sz val="12"/>
      <color indexed="8"/>
      <name val="Times New Roman"/>
      <family val="1"/>
    </font>
    <font>
      <b/>
      <sz val="12"/>
      <color indexed="8"/>
      <name val="Times New Roman"/>
      <family val="1"/>
    </font>
    <font>
      <b/>
      <sz val="14"/>
      <color indexed="8"/>
      <name val="Times New Roman"/>
      <family val="1"/>
    </font>
    <font>
      <b/>
      <i/>
      <sz val="12"/>
      <color indexed="8"/>
      <name val="Times New Roman"/>
      <family val="1"/>
    </font>
    <font>
      <sz val="11"/>
      <color theme="1"/>
      <name val="Calibri"/>
      <family val="2"/>
      <scheme val="minor"/>
    </font>
    <font>
      <b/>
      <sz val="11"/>
      <color theme="0"/>
      <name val="Calibri"/>
      <family val="2"/>
      <charset val="163"/>
      <scheme val="minor"/>
    </font>
    <font>
      <sz val="12"/>
      <color theme="1"/>
      <name val="Times New Roman"/>
      <family val="1"/>
    </font>
    <font>
      <b/>
      <sz val="12"/>
      <color theme="1"/>
      <name val="Times New Roman"/>
      <family val="1"/>
    </font>
    <font>
      <i/>
      <sz val="12"/>
      <color theme="1"/>
      <name val="Times New Roman"/>
      <family val="1"/>
    </font>
    <font>
      <b/>
      <sz val="11"/>
      <color theme="1"/>
      <name val="Times New Roman"/>
      <family val="1"/>
    </font>
    <font>
      <i/>
      <sz val="11"/>
      <color theme="1"/>
      <name val="Times New Roman"/>
      <family val="1"/>
    </font>
    <font>
      <sz val="11"/>
      <color theme="1"/>
      <name val="Times New Roman"/>
      <family val="1"/>
    </font>
    <font>
      <b/>
      <sz val="11"/>
      <name val="Calibri"/>
      <family val="2"/>
      <charset val="163"/>
      <scheme val="minor"/>
    </font>
    <font>
      <b/>
      <i/>
      <sz val="12"/>
      <color theme="1"/>
      <name val="Times New Roman"/>
      <family val="1"/>
    </font>
    <font>
      <sz val="14"/>
      <color theme="1"/>
      <name val="Times New Roman"/>
      <family val="1"/>
    </font>
    <font>
      <b/>
      <sz val="14"/>
      <color theme="1"/>
      <name val="Times New Roman"/>
      <family val="1"/>
    </font>
    <font>
      <i/>
      <sz val="14"/>
      <color theme="1"/>
      <name val="Times New Roman"/>
      <family val="1"/>
    </font>
    <font>
      <i/>
      <sz val="13"/>
      <color theme="1"/>
      <name val="Times New Roman"/>
      <family val="1"/>
    </font>
    <font>
      <b/>
      <sz val="16"/>
      <color indexed="8"/>
      <name val="Times New Roman"/>
      <family val="1"/>
    </font>
    <font>
      <sz val="12"/>
      <color rgb="FFFF0000"/>
      <name val="Times New Roman"/>
      <family val="1"/>
    </font>
    <font>
      <b/>
      <sz val="18"/>
      <name val="Times New Roman"/>
      <family val="1"/>
    </font>
    <font>
      <i/>
      <sz val="18"/>
      <name val="Times New Roman"/>
      <family val="1"/>
    </font>
    <font>
      <i/>
      <sz val="14"/>
      <name val="Times New Roman"/>
      <family val="1"/>
    </font>
    <font>
      <sz val="14"/>
      <name val="Times New Roman"/>
      <family val="1"/>
    </font>
  </fonts>
  <fills count="8">
    <fill>
      <patternFill patternType="none"/>
    </fill>
    <fill>
      <patternFill patternType="gray125"/>
    </fill>
    <fill>
      <patternFill patternType="solid">
        <fgColor rgb="FFA5A5A5"/>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s>
  <cellStyleXfs count="6">
    <xf numFmtId="0" fontId="0" fillId="0" borderId="0"/>
    <xf numFmtId="0" fontId="9" fillId="0" borderId="0"/>
    <xf numFmtId="0" fontId="25" fillId="2" borderId="21" applyNumberFormat="0" applyAlignment="0" applyProtection="0"/>
    <xf numFmtId="164" fontId="24" fillId="0" borderId="0" applyFont="0" applyFill="0" applyBorder="0" applyAlignment="0" applyProtection="0"/>
    <xf numFmtId="165" fontId="8" fillId="0" borderId="0" applyFont="0" applyFill="0" applyBorder="0" applyAlignment="0" applyProtection="0"/>
    <xf numFmtId="164" fontId="18" fillId="0" borderId="0" applyFont="0" applyFill="0" applyBorder="0" applyAlignment="0" applyProtection="0"/>
  </cellStyleXfs>
  <cellXfs count="478">
    <xf numFmtId="0" fontId="0" fillId="0" borderId="0" xfId="0"/>
    <xf numFmtId="0" fontId="26" fillId="0" borderId="0" xfId="0" applyFont="1"/>
    <xf numFmtId="0" fontId="26" fillId="0" borderId="0" xfId="0" applyFont="1" applyAlignment="1">
      <alignment vertical="center"/>
    </xf>
    <xf numFmtId="0" fontId="27" fillId="0" borderId="1" xfId="0" applyFont="1" applyBorder="1" applyAlignment="1">
      <alignment vertical="center"/>
    </xf>
    <xf numFmtId="0" fontId="26" fillId="0" borderId="1" xfId="0" applyFont="1" applyBorder="1" applyAlignment="1">
      <alignment horizontal="center" vertical="center"/>
    </xf>
    <xf numFmtId="0" fontId="26" fillId="0" borderId="1" xfId="0" applyFont="1" applyBorder="1" applyAlignment="1">
      <alignment horizontal="justify" vertical="center" wrapText="1"/>
    </xf>
    <xf numFmtId="3" fontId="27" fillId="0" borderId="1" xfId="0" applyNumberFormat="1" applyFont="1" applyBorder="1" applyAlignment="1">
      <alignment vertical="center"/>
    </xf>
    <xf numFmtId="0" fontId="26" fillId="0" borderId="1" xfId="0" applyFont="1" applyBorder="1" applyAlignment="1">
      <alignment vertical="center" wrapText="1"/>
    </xf>
    <xf numFmtId="0" fontId="26" fillId="0" borderId="0" xfId="0" applyFont="1" applyAlignment="1">
      <alignment horizontal="center"/>
    </xf>
    <xf numFmtId="0" fontId="27" fillId="0" borderId="1" xfId="0" applyFont="1" applyBorder="1" applyAlignment="1">
      <alignment horizontal="center" vertical="center"/>
    </xf>
    <xf numFmtId="0" fontId="28" fillId="0" borderId="1" xfId="0" applyFont="1" applyBorder="1" applyAlignment="1">
      <alignment horizontal="center" vertical="center"/>
    </xf>
    <xf numFmtId="0" fontId="27" fillId="0" borderId="1" xfId="0" applyFont="1" applyBorder="1" applyAlignment="1">
      <alignment horizontal="center" vertical="center" wrapText="1"/>
    </xf>
    <xf numFmtId="0" fontId="26" fillId="0" borderId="1" xfId="0" applyFont="1" applyBorder="1" applyAlignment="1">
      <alignment horizontal="center" vertical="center" wrapText="1"/>
    </xf>
    <xf numFmtId="3" fontId="26" fillId="0" borderId="1" xfId="0" applyNumberFormat="1" applyFont="1" applyBorder="1" applyAlignment="1">
      <alignment horizontal="center" vertical="center"/>
    </xf>
    <xf numFmtId="3" fontId="26" fillId="0" borderId="1" xfId="0" applyNumberFormat="1" applyFont="1" applyBorder="1" applyAlignment="1">
      <alignment horizontal="center" vertical="center" wrapText="1"/>
    </xf>
    <xf numFmtId="0" fontId="26" fillId="0" borderId="0" xfId="0" applyFont="1" applyAlignment="1">
      <alignment wrapText="1"/>
    </xf>
    <xf numFmtId="0" fontId="26" fillId="0" borderId="0" xfId="0" applyFont="1" applyAlignment="1">
      <alignment vertical="center" wrapText="1"/>
    </xf>
    <xf numFmtId="0" fontId="26" fillId="0" borderId="1" xfId="0" applyFont="1" applyBorder="1" applyAlignment="1">
      <alignment vertical="top" wrapText="1"/>
    </xf>
    <xf numFmtId="0" fontId="26" fillId="0" borderId="1" xfId="0" applyFont="1" applyBorder="1" applyAlignment="1">
      <alignment horizontal="left" vertical="top" wrapText="1"/>
    </xf>
    <xf numFmtId="0" fontId="26" fillId="0" borderId="0" xfId="0" applyFont="1" applyAlignment="1">
      <alignment vertical="top" wrapText="1"/>
    </xf>
    <xf numFmtId="0" fontId="26" fillId="0" borderId="0" xfId="0" applyFont="1" applyAlignment="1">
      <alignment horizontal="center" vertical="center"/>
    </xf>
    <xf numFmtId="4" fontId="26" fillId="0" borderId="1" xfId="0" applyNumberFormat="1" applyFont="1" applyBorder="1" applyAlignment="1">
      <alignment horizontal="center" vertical="center"/>
    </xf>
    <xf numFmtId="3" fontId="26" fillId="0" borderId="1" xfId="0" applyNumberFormat="1" applyFont="1" applyBorder="1" applyAlignment="1">
      <alignment horizontal="center" vertical="top" wrapText="1"/>
    </xf>
    <xf numFmtId="0" fontId="29" fillId="0" borderId="1" xfId="0" applyFont="1" applyBorder="1" applyAlignment="1">
      <alignment horizontal="center" vertical="center"/>
    </xf>
    <xf numFmtId="0" fontId="29" fillId="0" borderId="1" xfId="0" applyFont="1" applyBorder="1" applyAlignment="1">
      <alignment horizontal="center" vertical="center" wrapText="1"/>
    </xf>
    <xf numFmtId="0" fontId="30" fillId="0" borderId="1" xfId="0" applyFont="1" applyBorder="1" applyAlignment="1">
      <alignment horizontal="center" vertical="center"/>
    </xf>
    <xf numFmtId="0" fontId="3" fillId="0" borderId="1" xfId="0" applyFont="1" applyBorder="1" applyAlignment="1">
      <alignment horizontal="justify" vertical="center" wrapText="1"/>
    </xf>
    <xf numFmtId="166" fontId="3" fillId="0" borderId="1" xfId="3"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0" xfId="0" applyFont="1" applyAlignment="1">
      <alignment vertical="center"/>
    </xf>
    <xf numFmtId="0" fontId="28" fillId="0" borderId="0" xfId="0" applyFont="1" applyAlignment="1">
      <alignment horizontal="center"/>
    </xf>
    <xf numFmtId="0" fontId="3" fillId="3" borderId="1" xfId="0" applyFont="1" applyFill="1" applyBorder="1" applyAlignment="1">
      <alignment horizontal="center" vertical="center"/>
    </xf>
    <xf numFmtId="167" fontId="5" fillId="0" borderId="1" xfId="0" applyNumberFormat="1" applyFont="1" applyBorder="1" applyAlignment="1">
      <alignment horizontal="center" vertical="center" wrapText="1"/>
    </xf>
    <xf numFmtId="167" fontId="5" fillId="3" borderId="2" xfId="0" applyNumberFormat="1" applyFont="1" applyFill="1" applyBorder="1" applyAlignment="1">
      <alignment horizontal="center" vertical="center" wrapText="1"/>
    </xf>
    <xf numFmtId="0" fontId="31" fillId="0" borderId="0" xfId="0" applyFont="1" applyAlignment="1">
      <alignment wrapText="1"/>
    </xf>
    <xf numFmtId="0" fontId="31" fillId="0" borderId="0" xfId="0" applyFont="1"/>
    <xf numFmtId="0" fontId="31" fillId="0" borderId="0" xfId="0" applyFont="1" applyAlignment="1">
      <alignment vertical="center"/>
    </xf>
    <xf numFmtId="0" fontId="3" fillId="0" borderId="0" xfId="0" applyFont="1" applyAlignment="1">
      <alignment vertical="center"/>
    </xf>
    <xf numFmtId="0" fontId="31" fillId="0" borderId="1" xfId="0" applyFont="1" applyBorder="1" applyAlignment="1">
      <alignment vertical="center"/>
    </xf>
    <xf numFmtId="0" fontId="3" fillId="4" borderId="1" xfId="0" applyFont="1" applyFill="1" applyBorder="1" applyAlignment="1">
      <alignment horizontal="center" vertical="center"/>
    </xf>
    <xf numFmtId="0" fontId="3" fillId="4" borderId="1" xfId="0" applyFont="1" applyFill="1" applyBorder="1" applyAlignment="1">
      <alignment horizontal="justify" vertical="center" wrapText="1"/>
    </xf>
    <xf numFmtId="167" fontId="5" fillId="4" borderId="1" xfId="0" applyNumberFormat="1" applyFont="1" applyFill="1" applyBorder="1" applyAlignment="1">
      <alignment horizontal="center" vertical="center" wrapText="1"/>
    </xf>
    <xf numFmtId="166" fontId="3" fillId="4" borderId="1" xfId="3" applyNumberFormat="1"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0" xfId="0" applyFont="1" applyFill="1" applyAlignment="1">
      <alignment vertical="center"/>
    </xf>
    <xf numFmtId="0" fontId="4" fillId="4" borderId="0" xfId="0" applyFont="1" applyFill="1" applyAlignment="1">
      <alignment vertical="center"/>
    </xf>
    <xf numFmtId="167" fontId="5" fillId="4" borderId="2" xfId="0" applyNumberFormat="1" applyFont="1" applyFill="1" applyBorder="1" applyAlignment="1">
      <alignment horizontal="center" vertical="center" wrapText="1"/>
    </xf>
    <xf numFmtId="166" fontId="3" fillId="4" borderId="1" xfId="3" applyNumberFormat="1" applyFont="1" applyFill="1" applyBorder="1" applyAlignment="1">
      <alignment horizontal="center" vertical="center" wrapText="1"/>
    </xf>
    <xf numFmtId="0" fontId="3" fillId="4" borderId="0" xfId="0" applyFont="1" applyFill="1" applyAlignment="1">
      <alignment vertical="center" wrapText="1"/>
    </xf>
    <xf numFmtId="0" fontId="4" fillId="4" borderId="0" xfId="0" applyFont="1" applyFill="1" applyAlignment="1">
      <alignment vertical="center" wrapText="1"/>
    </xf>
    <xf numFmtId="168" fontId="6" fillId="4" borderId="1" xfId="0" applyNumberFormat="1" applyFont="1" applyFill="1" applyBorder="1" applyAlignment="1">
      <alignment vertical="center"/>
    </xf>
    <xf numFmtId="14" fontId="6" fillId="4" borderId="1" xfId="0" quotePrefix="1" applyNumberFormat="1" applyFont="1" applyFill="1" applyBorder="1" applyAlignment="1">
      <alignment horizontal="center" vertical="center"/>
    </xf>
    <xf numFmtId="0" fontId="6" fillId="4" borderId="1" xfId="0" applyFont="1" applyFill="1" applyBorder="1" applyAlignment="1">
      <alignment horizontal="center" vertical="center"/>
    </xf>
    <xf numFmtId="168" fontId="6" fillId="0" borderId="1" xfId="0" applyNumberFormat="1" applyFont="1" applyBorder="1" applyAlignment="1">
      <alignment vertical="center"/>
    </xf>
    <xf numFmtId="0" fontId="6" fillId="3" borderId="1" xfId="0" applyFont="1" applyFill="1" applyBorder="1" applyAlignment="1">
      <alignment horizontal="center" vertical="center"/>
    </xf>
    <xf numFmtId="0" fontId="6" fillId="0" borderId="1" xfId="0" applyFont="1" applyBorder="1" applyAlignment="1">
      <alignment horizontal="center" vertical="center"/>
    </xf>
    <xf numFmtId="168" fontId="6" fillId="4" borderId="1" xfId="0" applyNumberFormat="1" applyFont="1" applyFill="1" applyBorder="1" applyAlignment="1">
      <alignment vertical="center" wrapText="1"/>
    </xf>
    <xf numFmtId="0" fontId="27" fillId="0" borderId="0" xfId="0" applyFont="1" applyAlignment="1">
      <alignment horizontal="center" vertical="center"/>
    </xf>
    <xf numFmtId="3" fontId="3" fillId="4"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1" xfId="0" applyFont="1" applyFill="1" applyBorder="1" applyAlignment="1">
      <alignment horizontal="justify" vertical="center" wrapText="1"/>
    </xf>
    <xf numFmtId="167" fontId="5" fillId="5" borderId="1" xfId="0" applyNumberFormat="1" applyFont="1" applyFill="1" applyBorder="1" applyAlignment="1">
      <alignment horizontal="center" vertical="center" wrapText="1"/>
    </xf>
    <xf numFmtId="166" fontId="3" fillId="5" borderId="1" xfId="3" applyNumberFormat="1" applyFont="1" applyFill="1" applyBorder="1" applyAlignment="1">
      <alignment horizontal="center" vertical="center"/>
    </xf>
    <xf numFmtId="0" fontId="3" fillId="5" borderId="1" xfId="0" applyFont="1" applyFill="1" applyBorder="1" applyAlignment="1">
      <alignment horizontal="center" vertical="center" wrapText="1"/>
    </xf>
    <xf numFmtId="168" fontId="6" fillId="5" borderId="1" xfId="0" applyNumberFormat="1" applyFont="1" applyFill="1" applyBorder="1" applyAlignment="1">
      <alignment vertical="center"/>
    </xf>
    <xf numFmtId="0" fontId="6" fillId="5" borderId="1" xfId="0" applyFont="1" applyFill="1" applyBorder="1" applyAlignment="1">
      <alignment horizontal="center" vertical="center"/>
    </xf>
    <xf numFmtId="0" fontId="3" fillId="5" borderId="0" xfId="0" applyFont="1" applyFill="1" applyAlignment="1">
      <alignment vertical="center"/>
    </xf>
    <xf numFmtId="0" fontId="4" fillId="5" borderId="0" xfId="0" applyFont="1" applyFill="1" applyAlignment="1">
      <alignment vertical="center"/>
    </xf>
    <xf numFmtId="0" fontId="26" fillId="0" borderId="1" xfId="0" applyFont="1" applyBorder="1" applyAlignment="1">
      <alignment vertical="center"/>
    </xf>
    <xf numFmtId="167" fontId="26" fillId="0" borderId="0" xfId="0" applyNumberFormat="1" applyFont="1" applyAlignment="1">
      <alignment horizontal="center"/>
    </xf>
    <xf numFmtId="0" fontId="7" fillId="3" borderId="1" xfId="0" applyFont="1" applyFill="1" applyBorder="1" applyAlignment="1">
      <alignment horizontal="center" vertical="center"/>
    </xf>
    <xf numFmtId="0" fontId="27" fillId="0" borderId="0" xfId="0" applyFont="1" applyAlignment="1">
      <alignment vertical="center"/>
    </xf>
    <xf numFmtId="0" fontId="27" fillId="3" borderId="1" xfId="0" applyFont="1" applyFill="1" applyBorder="1" applyAlignment="1">
      <alignment horizontal="center" vertical="center"/>
    </xf>
    <xf numFmtId="0" fontId="3" fillId="3" borderId="1" xfId="0" applyFont="1" applyFill="1" applyBorder="1" applyAlignment="1">
      <alignment horizontal="left" vertical="center" wrapText="1"/>
    </xf>
    <xf numFmtId="0" fontId="26" fillId="3" borderId="1" xfId="0" applyFont="1" applyFill="1" applyBorder="1" applyAlignment="1">
      <alignment horizontal="left" vertical="center"/>
    </xf>
    <xf numFmtId="167" fontId="5" fillId="3" borderId="1" xfId="0" applyNumberFormat="1" applyFont="1" applyFill="1" applyBorder="1" applyAlignment="1">
      <alignment horizontal="center" vertical="center" wrapText="1"/>
    </xf>
    <xf numFmtId="167" fontId="7" fillId="3" borderId="1" xfId="0" applyNumberFormat="1" applyFont="1" applyFill="1" applyBorder="1" applyAlignment="1">
      <alignment horizontal="right" vertical="center" wrapText="1"/>
    </xf>
    <xf numFmtId="169" fontId="26" fillId="0" borderId="0" xfId="0" applyNumberFormat="1" applyFont="1" applyAlignment="1">
      <alignment vertical="center"/>
    </xf>
    <xf numFmtId="169" fontId="27" fillId="0" borderId="1" xfId="0" applyNumberFormat="1" applyFont="1" applyBorder="1" applyAlignment="1">
      <alignment horizontal="center" vertical="center" wrapText="1"/>
    </xf>
    <xf numFmtId="169" fontId="7" fillId="3" borderId="1" xfId="0" applyNumberFormat="1" applyFont="1" applyFill="1" applyBorder="1" applyAlignment="1">
      <alignment horizontal="right" vertical="center" wrapText="1"/>
    </xf>
    <xf numFmtId="2" fontId="26" fillId="0" borderId="0" xfId="0" applyNumberFormat="1" applyFont="1" applyAlignment="1">
      <alignment vertical="center"/>
    </xf>
    <xf numFmtId="169" fontId="5" fillId="0" borderId="1" xfId="0" applyNumberFormat="1" applyFont="1" applyBorder="1" applyAlignment="1">
      <alignment horizontal="center" vertical="center" wrapText="1"/>
    </xf>
    <xf numFmtId="169" fontId="7" fillId="0" borderId="1" xfId="0" applyNumberFormat="1" applyFont="1" applyBorder="1" applyAlignment="1">
      <alignment horizontal="right" vertical="center" wrapText="1"/>
    </xf>
    <xf numFmtId="170" fontId="27" fillId="0" borderId="1" xfId="0" applyNumberFormat="1" applyFont="1" applyBorder="1" applyAlignment="1">
      <alignment vertical="center"/>
    </xf>
    <xf numFmtId="0" fontId="4" fillId="3" borderId="0" xfId="0" applyFont="1" applyFill="1" applyAlignment="1">
      <alignment vertical="center"/>
    </xf>
    <xf numFmtId="0" fontId="4" fillId="3" borderId="3" xfId="0" applyFont="1" applyFill="1" applyBorder="1" applyAlignment="1">
      <alignment horizontal="center" vertical="center"/>
    </xf>
    <xf numFmtId="0" fontId="4" fillId="3" borderId="3" xfId="0" applyFont="1" applyFill="1" applyBorder="1" applyAlignment="1">
      <alignment horizontal="justify" vertical="center" wrapText="1"/>
    </xf>
    <xf numFmtId="0" fontId="4" fillId="3" borderId="3" xfId="0" applyFont="1" applyFill="1" applyBorder="1" applyAlignment="1">
      <alignment horizontal="center" vertical="center" wrapText="1"/>
    </xf>
    <xf numFmtId="3" fontId="4" fillId="3" borderId="3" xfId="0" applyNumberFormat="1" applyFont="1" applyFill="1" applyBorder="1" applyAlignment="1">
      <alignment horizontal="right" vertical="center"/>
    </xf>
    <xf numFmtId="3" fontId="4" fillId="3" borderId="3" xfId="0" applyNumberFormat="1" applyFont="1" applyFill="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3" xfId="0" applyNumberFormat="1" applyFont="1" applyBorder="1" applyAlignment="1">
      <alignment vertical="center"/>
    </xf>
    <xf numFmtId="0" fontId="4" fillId="0" borderId="3" xfId="0" applyFont="1" applyBorder="1" applyAlignment="1">
      <alignment horizontal="center" vertical="center"/>
    </xf>
    <xf numFmtId="0" fontId="4" fillId="0" borderId="3" xfId="0" applyFont="1" applyBorder="1" applyAlignment="1">
      <alignment horizontal="justify" vertical="center" wrapText="1"/>
    </xf>
    <xf numFmtId="0" fontId="4" fillId="0" borderId="3" xfId="0" applyFont="1" applyBorder="1" applyAlignment="1">
      <alignment horizontal="center" vertical="center" wrapText="1"/>
    </xf>
    <xf numFmtId="3" fontId="4" fillId="0" borderId="3" xfId="0" applyNumberFormat="1" applyFont="1" applyBorder="1" applyAlignment="1">
      <alignment horizontal="right" vertical="center"/>
    </xf>
    <xf numFmtId="3"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0" fontId="4" fillId="0" borderId="3" xfId="0" applyFont="1" applyBorder="1" applyAlignment="1">
      <alignment vertical="center"/>
    </xf>
    <xf numFmtId="3" fontId="4" fillId="0" borderId="3" xfId="0" applyNumberFormat="1" applyFont="1" applyBorder="1" applyAlignment="1">
      <alignment horizontal="center" vertical="center"/>
    </xf>
    <xf numFmtId="4" fontId="4" fillId="0" borderId="3" xfId="0" applyNumberFormat="1" applyFont="1" applyBorder="1" applyAlignment="1">
      <alignment horizontal="center" vertical="center"/>
    </xf>
    <xf numFmtId="0" fontId="4" fillId="0" borderId="0" xfId="0" applyFont="1" applyAlignment="1">
      <alignment horizontal="center"/>
    </xf>
    <xf numFmtId="0" fontId="4" fillId="0" borderId="0" xfId="0" applyFont="1"/>
    <xf numFmtId="0" fontId="4" fillId="0" borderId="0" xfId="0" applyFont="1" applyAlignment="1">
      <alignment horizontal="right"/>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vertical="center"/>
    </xf>
    <xf numFmtId="0" fontId="13" fillId="0" borderId="3" xfId="0" applyFont="1" applyBorder="1" applyAlignment="1">
      <alignment horizontal="center" vertical="center"/>
    </xf>
    <xf numFmtId="0" fontId="13" fillId="0" borderId="3" xfId="0" applyFont="1" applyBorder="1" applyAlignment="1">
      <alignment vertical="center"/>
    </xf>
    <xf numFmtId="3" fontId="13" fillId="0" borderId="3" xfId="0" applyNumberFormat="1" applyFont="1" applyBorder="1" applyAlignment="1">
      <alignment horizontal="right" vertical="center"/>
    </xf>
    <xf numFmtId="3" fontId="13" fillId="0" borderId="3" xfId="0" applyNumberFormat="1" applyFont="1" applyBorder="1" applyAlignment="1">
      <alignment vertical="center"/>
    </xf>
    <xf numFmtId="4" fontId="13" fillId="0" borderId="3" xfId="0" applyNumberFormat="1" applyFont="1" applyBorder="1" applyAlignment="1">
      <alignment vertical="center"/>
    </xf>
    <xf numFmtId="3" fontId="4" fillId="0" borderId="3" xfId="0" applyNumberFormat="1" applyFont="1" applyBorder="1" applyAlignment="1">
      <alignment vertical="center"/>
    </xf>
    <xf numFmtId="0" fontId="13" fillId="0" borderId="3" xfId="0" applyFont="1" applyBorder="1" applyAlignment="1">
      <alignment horizontal="justify" vertical="center" wrapText="1"/>
    </xf>
    <xf numFmtId="0" fontId="13" fillId="0" borderId="3" xfId="0" applyFont="1" applyBorder="1" applyAlignment="1">
      <alignment horizontal="center" vertical="center" wrapText="1"/>
    </xf>
    <xf numFmtId="2" fontId="4" fillId="0" borderId="3" xfId="0" applyNumberFormat="1" applyFont="1" applyBorder="1" applyAlignment="1">
      <alignment vertical="center" wrapText="1"/>
    </xf>
    <xf numFmtId="0" fontId="4" fillId="0" borderId="3" xfId="0" applyFont="1" applyBorder="1" applyAlignment="1">
      <alignment horizontal="right" vertical="center"/>
    </xf>
    <xf numFmtId="3" fontId="13" fillId="0" borderId="3" xfId="0" applyNumberFormat="1" applyFont="1" applyBorder="1" applyAlignment="1">
      <alignment horizontal="center" vertical="center" wrapText="1"/>
    </xf>
    <xf numFmtId="4" fontId="13" fillId="0" borderId="3" xfId="0" applyNumberFormat="1" applyFont="1" applyBorder="1" applyAlignment="1">
      <alignment horizontal="center" vertical="center" wrapText="1"/>
    </xf>
    <xf numFmtId="2" fontId="11" fillId="0" borderId="3" xfId="0" applyNumberFormat="1" applyFont="1" applyBorder="1" applyAlignment="1">
      <alignment horizontal="center" vertical="center" wrapText="1"/>
    </xf>
    <xf numFmtId="3" fontId="4" fillId="0" borderId="3" xfId="0" applyNumberFormat="1" applyFont="1" applyBorder="1" applyAlignment="1">
      <alignment horizontal="right" vertical="center" wrapText="1"/>
    </xf>
    <xf numFmtId="0" fontId="13" fillId="0" borderId="0" xfId="0" applyFont="1" applyAlignment="1">
      <alignment vertical="center"/>
    </xf>
    <xf numFmtId="171" fontId="4" fillId="0" borderId="3" xfId="0" applyNumberFormat="1" applyFont="1" applyBorder="1" applyAlignment="1">
      <alignment horizontal="center" vertical="center" wrapText="1"/>
    </xf>
    <xf numFmtId="2" fontId="11" fillId="0" borderId="3" xfId="0" applyNumberFormat="1" applyFont="1" applyBorder="1" applyAlignment="1">
      <alignment vertical="center" wrapText="1"/>
    </xf>
    <xf numFmtId="171" fontId="4" fillId="3" borderId="3" xfId="0" applyNumberFormat="1" applyFont="1" applyFill="1" applyBorder="1" applyAlignment="1">
      <alignment horizontal="center" vertical="center" wrapText="1"/>
    </xf>
    <xf numFmtId="0" fontId="13" fillId="3" borderId="0" xfId="0" applyFont="1" applyFill="1" applyAlignment="1">
      <alignment vertical="center"/>
    </xf>
    <xf numFmtId="2" fontId="4" fillId="3" borderId="4" xfId="0" applyNumberFormat="1" applyFont="1" applyFill="1" applyBorder="1" applyAlignment="1">
      <alignment horizontal="center" vertical="center" wrapText="1"/>
    </xf>
    <xf numFmtId="171" fontId="4" fillId="3" borderId="4" xfId="0" applyNumberFormat="1" applyFont="1" applyFill="1" applyBorder="1" applyAlignment="1">
      <alignment horizontal="center" vertical="center" wrapText="1"/>
    </xf>
    <xf numFmtId="0" fontId="4" fillId="3" borderId="4" xfId="0" applyFont="1" applyFill="1" applyBorder="1" applyAlignment="1">
      <alignment horizontal="center" vertical="center" wrapText="1"/>
    </xf>
    <xf numFmtId="3" fontId="4" fillId="3" borderId="4" xfId="0" applyNumberFormat="1" applyFont="1" applyFill="1" applyBorder="1" applyAlignment="1">
      <alignment horizontal="right" vertical="center"/>
    </xf>
    <xf numFmtId="3" fontId="4" fillId="3" borderId="4" xfId="0" applyNumberFormat="1" applyFont="1" applyFill="1" applyBorder="1" applyAlignment="1">
      <alignment horizontal="center" vertical="center" wrapText="1"/>
    </xf>
    <xf numFmtId="0" fontId="13" fillId="3" borderId="4" xfId="0" applyFont="1" applyFill="1" applyBorder="1" applyAlignment="1">
      <alignment horizontal="center" vertical="center"/>
    </xf>
    <xf numFmtId="0" fontId="10" fillId="0" borderId="0" xfId="0" applyFont="1"/>
    <xf numFmtId="0" fontId="10" fillId="0" borderId="0" xfId="0" applyFont="1" applyAlignment="1">
      <alignment horizontal="right"/>
    </xf>
    <xf numFmtId="0" fontId="15" fillId="0" borderId="5" xfId="0" applyFont="1" applyBorder="1" applyAlignment="1">
      <alignment horizontal="center" vertical="center"/>
    </xf>
    <xf numFmtId="0" fontId="16" fillId="0" borderId="0" xfId="0" applyFont="1"/>
    <xf numFmtId="0" fontId="16" fillId="0" borderId="0" xfId="0" applyFont="1" applyAlignment="1">
      <alignment horizontal="right"/>
    </xf>
    <xf numFmtId="0" fontId="13" fillId="0" borderId="6"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3" fillId="0" borderId="8" xfId="0" applyFont="1" applyBorder="1" applyAlignment="1">
      <alignment horizontal="center" vertical="center"/>
    </xf>
    <xf numFmtId="0" fontId="4"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4" fillId="0" borderId="11" xfId="0" applyFont="1" applyBorder="1" applyAlignment="1">
      <alignment horizontal="center" vertical="center"/>
    </xf>
    <xf numFmtId="0" fontId="32" fillId="0" borderId="0" xfId="2" applyFont="1" applyFill="1" applyBorder="1" applyAlignment="1">
      <alignment horizontal="center"/>
    </xf>
    <xf numFmtId="3" fontId="4" fillId="0" borderId="12" xfId="0" applyNumberFormat="1" applyFont="1" applyBorder="1" applyAlignment="1">
      <alignment horizontal="right" vertical="center"/>
    </xf>
    <xf numFmtId="2" fontId="13" fillId="3" borderId="1" xfId="0" applyNumberFormat="1" applyFont="1" applyFill="1" applyBorder="1" applyAlignment="1">
      <alignment horizontal="center" vertical="center" wrapText="1"/>
    </xf>
    <xf numFmtId="171"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3" fontId="4" fillId="3" borderId="1" xfId="0" applyNumberFormat="1" applyFont="1" applyFill="1" applyBorder="1" applyAlignment="1">
      <alignment horizontal="right" vertical="center"/>
    </xf>
    <xf numFmtId="3" fontId="4" fillId="3" borderId="1" xfId="0" applyNumberFormat="1" applyFont="1" applyFill="1" applyBorder="1" applyAlignment="1">
      <alignment horizontal="center" vertical="center" wrapText="1"/>
    </xf>
    <xf numFmtId="4" fontId="4" fillId="0" borderId="1" xfId="0" applyNumberFormat="1" applyFont="1" applyBorder="1" applyAlignment="1">
      <alignment horizontal="center" vertical="center"/>
    </xf>
    <xf numFmtId="0" fontId="32" fillId="0" borderId="13" xfId="2" applyFont="1" applyFill="1" applyBorder="1" applyAlignment="1">
      <alignment horizontal="center" vertical="center"/>
    </xf>
    <xf numFmtId="0" fontId="32" fillId="0" borderId="3" xfId="2" applyFont="1" applyFill="1" applyBorder="1" applyAlignment="1">
      <alignment horizontal="center" vertical="center"/>
    </xf>
    <xf numFmtId="3" fontId="32" fillId="0" borderId="3" xfId="2" applyNumberFormat="1" applyFont="1" applyFill="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center" vertical="center" wrapText="1"/>
    </xf>
    <xf numFmtId="0" fontId="10" fillId="0" borderId="0" xfId="0" applyFont="1" applyAlignment="1">
      <alignment horizontal="center"/>
    </xf>
    <xf numFmtId="0" fontId="16" fillId="0" borderId="0" xfId="0" applyFont="1" applyAlignment="1">
      <alignment horizontal="center"/>
    </xf>
    <xf numFmtId="0" fontId="4" fillId="0" borderId="3" xfId="0" applyFont="1" applyBorder="1" applyAlignment="1">
      <alignment horizontal="left" vertical="center" wrapText="1"/>
    </xf>
    <xf numFmtId="4" fontId="4" fillId="3" borderId="3" xfId="0" applyNumberFormat="1" applyFont="1" applyFill="1" applyBorder="1" applyAlignment="1">
      <alignment horizontal="center" vertical="center" wrapText="1"/>
    </xf>
    <xf numFmtId="4" fontId="4" fillId="3" borderId="3" xfId="0" applyNumberFormat="1" applyFont="1" applyFill="1" applyBorder="1" applyAlignment="1">
      <alignment horizontal="center" vertical="center"/>
    </xf>
    <xf numFmtId="0" fontId="4" fillId="3" borderId="0" xfId="0" applyFont="1" applyFill="1"/>
    <xf numFmtId="0" fontId="4" fillId="3" borderId="0" xfId="0" applyFont="1" applyFill="1" applyAlignment="1">
      <alignment horizontal="center"/>
    </xf>
    <xf numFmtId="0" fontId="4" fillId="3" borderId="0" xfId="0" applyFont="1" applyFill="1" applyAlignment="1">
      <alignment horizontal="right"/>
    </xf>
    <xf numFmtId="0" fontId="10" fillId="3" borderId="0" xfId="0" applyFont="1" applyFill="1" applyAlignment="1">
      <alignment horizontal="center"/>
    </xf>
    <xf numFmtId="0" fontId="10" fillId="3" borderId="0" xfId="0" applyFont="1" applyFill="1"/>
    <xf numFmtId="0" fontId="10" fillId="3" borderId="0" xfId="0" applyFont="1" applyFill="1" applyAlignment="1">
      <alignment horizontal="right"/>
    </xf>
    <xf numFmtId="0" fontId="12" fillId="3" borderId="0" xfId="0" applyFont="1" applyFill="1" applyAlignment="1">
      <alignment horizontal="center"/>
    </xf>
    <xf numFmtId="0" fontId="13" fillId="0" borderId="13" xfId="0" applyFont="1" applyBorder="1" applyAlignment="1">
      <alignment horizontal="center" vertical="center" wrapText="1"/>
    </xf>
    <xf numFmtId="3" fontId="13" fillId="0" borderId="13" xfId="0" applyNumberFormat="1" applyFont="1" applyBorder="1" applyAlignment="1">
      <alignment horizontal="right" vertical="center"/>
    </xf>
    <xf numFmtId="3" fontId="13" fillId="0" borderId="13" xfId="0" applyNumberFormat="1" applyFont="1" applyBorder="1" applyAlignment="1">
      <alignment horizontal="center" vertical="center" wrapText="1"/>
    </xf>
    <xf numFmtId="0" fontId="13" fillId="3" borderId="3" xfId="0" applyFont="1" applyFill="1" applyBorder="1" applyAlignment="1">
      <alignment horizontal="center" vertical="center" wrapText="1"/>
    </xf>
    <xf numFmtId="3" fontId="13" fillId="3" borderId="3" xfId="0" applyNumberFormat="1" applyFont="1" applyFill="1" applyBorder="1" applyAlignment="1">
      <alignment horizontal="right" vertical="center"/>
    </xf>
    <xf numFmtId="3" fontId="13" fillId="3" borderId="3" xfId="0" applyNumberFormat="1" applyFont="1" applyFill="1" applyBorder="1" applyAlignment="1">
      <alignment horizontal="center" vertical="center" wrapText="1"/>
    </xf>
    <xf numFmtId="4" fontId="4" fillId="5" borderId="3" xfId="0" applyNumberFormat="1" applyFont="1" applyFill="1" applyBorder="1" applyAlignment="1">
      <alignment horizontal="center" vertical="center"/>
    </xf>
    <xf numFmtId="0" fontId="13" fillId="3" borderId="0" xfId="0" applyFont="1" applyFill="1"/>
    <xf numFmtId="0" fontId="4" fillId="0" borderId="12" xfId="0" applyFont="1" applyBorder="1" applyAlignment="1">
      <alignment vertical="center"/>
    </xf>
    <xf numFmtId="3" fontId="4" fillId="0" borderId="12" xfId="0" applyNumberFormat="1" applyFont="1" applyBorder="1" applyAlignment="1">
      <alignment vertical="center"/>
    </xf>
    <xf numFmtId="4" fontId="4" fillId="0" borderId="12" xfId="0" applyNumberFormat="1" applyFont="1" applyBorder="1" applyAlignment="1">
      <alignment vertical="center"/>
    </xf>
    <xf numFmtId="3" fontId="4" fillId="0" borderId="12" xfId="0" applyNumberFormat="1" applyFont="1" applyBorder="1" applyAlignment="1">
      <alignment horizontal="center" vertical="center"/>
    </xf>
    <xf numFmtId="2" fontId="13" fillId="3" borderId="14" xfId="0" applyNumberFormat="1" applyFont="1" applyFill="1" applyBorder="1" applyAlignment="1">
      <alignment horizontal="center" vertical="center" wrapText="1"/>
    </xf>
    <xf numFmtId="171" fontId="13" fillId="3" borderId="14" xfId="0" applyNumberFormat="1" applyFont="1" applyFill="1" applyBorder="1" applyAlignment="1">
      <alignment horizontal="center" vertical="center" wrapText="1"/>
    </xf>
    <xf numFmtId="0" fontId="13" fillId="3" borderId="14" xfId="0" applyFont="1" applyFill="1" applyBorder="1" applyAlignment="1">
      <alignment horizontal="center" vertical="center" wrapText="1"/>
    </xf>
    <xf numFmtId="3" fontId="13" fillId="3" borderId="14" xfId="0" applyNumberFormat="1" applyFont="1" applyFill="1" applyBorder="1" applyAlignment="1">
      <alignment horizontal="right" vertical="center"/>
    </xf>
    <xf numFmtId="3" fontId="13" fillId="3" borderId="14" xfId="0" applyNumberFormat="1" applyFont="1" applyFill="1" applyBorder="1" applyAlignment="1">
      <alignment horizontal="center" vertical="center" wrapText="1"/>
    </xf>
    <xf numFmtId="4" fontId="13" fillId="3" borderId="14" xfId="0" applyNumberFormat="1" applyFont="1" applyFill="1" applyBorder="1" applyAlignment="1">
      <alignment horizontal="center" vertical="center" wrapText="1"/>
    </xf>
    <xf numFmtId="4" fontId="13" fillId="3" borderId="14" xfId="0" applyNumberFormat="1" applyFont="1" applyFill="1" applyBorder="1" applyAlignment="1">
      <alignment horizontal="center" vertical="center"/>
    </xf>
    <xf numFmtId="0" fontId="13" fillId="0" borderId="13" xfId="0" applyFont="1" applyBorder="1" applyAlignment="1">
      <alignment horizontal="center" vertical="center"/>
    </xf>
    <xf numFmtId="0" fontId="13" fillId="3" borderId="3" xfId="0" applyFont="1" applyFill="1" applyBorder="1" applyAlignment="1">
      <alignment horizontal="center" vertical="center"/>
    </xf>
    <xf numFmtId="2" fontId="13" fillId="3" borderId="3" xfId="0" applyNumberFormat="1" applyFont="1" applyFill="1" applyBorder="1" applyAlignment="1">
      <alignment vertical="center" wrapText="1"/>
    </xf>
    <xf numFmtId="2" fontId="13" fillId="3" borderId="3" xfId="0" applyNumberFormat="1" applyFont="1" applyFill="1" applyBorder="1" applyAlignment="1">
      <alignment horizontal="center" vertical="center" wrapText="1"/>
    </xf>
    <xf numFmtId="171" fontId="13" fillId="3" borderId="3"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wrapText="1"/>
    </xf>
    <xf numFmtId="4" fontId="13" fillId="3" borderId="3" xfId="0" applyNumberFormat="1" applyFont="1" applyFill="1" applyBorder="1" applyAlignment="1">
      <alignment horizontal="center" vertical="center"/>
    </xf>
    <xf numFmtId="0" fontId="31" fillId="3" borderId="3" xfId="0" applyFont="1" applyFill="1" applyBorder="1" applyAlignment="1">
      <alignment vertical="center" wrapText="1"/>
    </xf>
    <xf numFmtId="2" fontId="4" fillId="3" borderId="3" xfId="0" applyNumberFormat="1" applyFont="1" applyFill="1" applyBorder="1" applyAlignment="1">
      <alignment horizontal="center" vertical="center" wrapText="1"/>
    </xf>
    <xf numFmtId="0" fontId="29" fillId="3" borderId="3" xfId="0" applyFont="1" applyFill="1" applyBorder="1" applyAlignment="1">
      <alignment vertical="center" wrapText="1"/>
    </xf>
    <xf numFmtId="0" fontId="29" fillId="3" borderId="3" xfId="0" applyFont="1" applyFill="1" applyBorder="1" applyAlignment="1">
      <alignment vertical="center"/>
    </xf>
    <xf numFmtId="0" fontId="3" fillId="3" borderId="3" xfId="0" applyFont="1" applyFill="1" applyBorder="1" applyAlignment="1">
      <alignment vertical="center" wrapText="1"/>
    </xf>
    <xf numFmtId="0" fontId="31" fillId="3" borderId="3" xfId="0" applyFont="1" applyFill="1" applyBorder="1" applyAlignment="1">
      <alignment vertical="center"/>
    </xf>
    <xf numFmtId="0" fontId="4" fillId="3" borderId="4" xfId="0" applyFont="1" applyFill="1" applyBorder="1" applyAlignment="1">
      <alignment horizontal="center" vertical="center"/>
    </xf>
    <xf numFmtId="0" fontId="31" fillId="3" borderId="4" xfId="0" applyFont="1" applyFill="1" applyBorder="1" applyAlignment="1">
      <alignment vertical="center" wrapText="1"/>
    </xf>
    <xf numFmtId="171" fontId="4" fillId="0" borderId="4" xfId="0" applyNumberFormat="1" applyFont="1" applyBorder="1" applyAlignment="1">
      <alignment horizontal="center" vertical="center" wrapText="1"/>
    </xf>
    <xf numFmtId="4" fontId="4" fillId="0" borderId="4" xfId="0" applyNumberFormat="1" applyFont="1" applyBorder="1" applyAlignment="1">
      <alignment horizontal="center" vertical="center"/>
    </xf>
    <xf numFmtId="0" fontId="13" fillId="5" borderId="13" xfId="0" applyFont="1" applyFill="1" applyBorder="1" applyAlignment="1">
      <alignment horizontal="center" vertical="center"/>
    </xf>
    <xf numFmtId="0" fontId="4" fillId="5" borderId="13" xfId="0" applyFont="1" applyFill="1" applyBorder="1" applyAlignment="1">
      <alignment horizontal="center" vertical="center"/>
    </xf>
    <xf numFmtId="0" fontId="4" fillId="5" borderId="13" xfId="0" applyFont="1" applyFill="1" applyBorder="1" applyAlignment="1">
      <alignment horizontal="center" vertical="center" wrapText="1"/>
    </xf>
    <xf numFmtId="3" fontId="4" fillId="5" borderId="13" xfId="0" applyNumberFormat="1" applyFont="1" applyFill="1" applyBorder="1" applyAlignment="1">
      <alignment horizontal="right" vertical="center"/>
    </xf>
    <xf numFmtId="3" fontId="4" fillId="5" borderId="13" xfId="0" applyNumberFormat="1" applyFont="1" applyFill="1" applyBorder="1" applyAlignment="1">
      <alignment vertical="center"/>
    </xf>
    <xf numFmtId="4" fontId="4" fillId="5" borderId="13" xfId="0" applyNumberFormat="1" applyFont="1" applyFill="1" applyBorder="1" applyAlignment="1">
      <alignment vertical="center"/>
    </xf>
    <xf numFmtId="3" fontId="4" fillId="5" borderId="13" xfId="0" applyNumberFormat="1" applyFont="1" applyFill="1" applyBorder="1" applyAlignment="1">
      <alignment horizontal="center" vertical="center"/>
    </xf>
    <xf numFmtId="0" fontId="13" fillId="5" borderId="3" xfId="0" applyFont="1" applyFill="1" applyBorder="1" applyAlignment="1">
      <alignment horizontal="center" vertical="center"/>
    </xf>
    <xf numFmtId="0" fontId="13" fillId="5" borderId="3" xfId="0" applyFont="1" applyFill="1" applyBorder="1" applyAlignment="1">
      <alignment horizontal="center" vertical="center" wrapText="1"/>
    </xf>
    <xf numFmtId="3" fontId="13" fillId="5" borderId="3" xfId="0" applyNumberFormat="1" applyFont="1" applyFill="1" applyBorder="1" applyAlignment="1">
      <alignment horizontal="right" vertical="center"/>
    </xf>
    <xf numFmtId="3" fontId="13" fillId="5" borderId="3" xfId="0" applyNumberFormat="1" applyFont="1" applyFill="1" applyBorder="1" applyAlignment="1">
      <alignment horizontal="center" vertical="center" wrapText="1"/>
    </xf>
    <xf numFmtId="4" fontId="13" fillId="5" borderId="3" xfId="0" applyNumberFormat="1" applyFont="1" applyFill="1" applyBorder="1" applyAlignment="1">
      <alignment horizontal="center" vertical="center" wrapText="1"/>
    </xf>
    <xf numFmtId="4" fontId="4" fillId="5" borderId="3" xfId="0" applyNumberFormat="1" applyFont="1" applyFill="1" applyBorder="1" applyAlignment="1">
      <alignment horizontal="center" vertical="center" wrapText="1"/>
    </xf>
    <xf numFmtId="172" fontId="4" fillId="3" borderId="3" xfId="0" applyNumberFormat="1" applyFont="1" applyFill="1" applyBorder="1" applyAlignment="1">
      <alignment horizontal="center" vertical="center" wrapText="1"/>
    </xf>
    <xf numFmtId="0" fontId="32" fillId="3" borderId="3" xfId="2" applyFont="1" applyFill="1" applyBorder="1" applyAlignment="1">
      <alignment horizontal="center" vertical="center"/>
    </xf>
    <xf numFmtId="0" fontId="4" fillId="3" borderId="3" xfId="0" applyFont="1" applyFill="1" applyBorder="1" applyAlignment="1">
      <alignment vertical="center"/>
    </xf>
    <xf numFmtId="0" fontId="13" fillId="3" borderId="3" xfId="0" applyFont="1" applyFill="1" applyBorder="1" applyAlignment="1">
      <alignment vertical="center"/>
    </xf>
    <xf numFmtId="0" fontId="32" fillId="3" borderId="3" xfId="2" applyFont="1" applyFill="1" applyBorder="1" applyAlignment="1">
      <alignment vertical="center"/>
    </xf>
    <xf numFmtId="0" fontId="4" fillId="0" borderId="15" xfId="0" applyFont="1" applyBorder="1" applyAlignment="1">
      <alignment horizontal="center" vertical="center"/>
    </xf>
    <xf numFmtId="3" fontId="32" fillId="0" borderId="12" xfId="2" applyNumberFormat="1" applyFont="1" applyFill="1" applyBorder="1" applyAlignment="1">
      <alignment horizontal="center" vertical="center"/>
    </xf>
    <xf numFmtId="0" fontId="4" fillId="0" borderId="16" xfId="0" applyFont="1" applyBorder="1" applyAlignment="1">
      <alignment horizontal="center" vertical="center"/>
    </xf>
    <xf numFmtId="171" fontId="4" fillId="0" borderId="1" xfId="0" applyNumberFormat="1" applyFont="1" applyBorder="1" applyAlignment="1">
      <alignment horizontal="center" vertical="center" wrapText="1"/>
    </xf>
    <xf numFmtId="0" fontId="26" fillId="3" borderId="3" xfId="0" applyFont="1" applyFill="1" applyBorder="1" applyAlignment="1">
      <alignment horizontal="left" vertical="center" wrapText="1"/>
    </xf>
    <xf numFmtId="0" fontId="4" fillId="0" borderId="3" xfId="0" applyFont="1" applyBorder="1" applyAlignment="1">
      <alignment horizontal="center"/>
    </xf>
    <xf numFmtId="0" fontId="4" fillId="0" borderId="4" xfId="0" applyFont="1" applyBorder="1" applyAlignment="1">
      <alignment horizontal="center" vertical="center" wrapText="1"/>
    </xf>
    <xf numFmtId="3" fontId="4" fillId="0" borderId="4" xfId="0" applyNumberFormat="1" applyFont="1" applyBorder="1" applyAlignment="1">
      <alignment horizontal="right" vertical="center"/>
    </xf>
    <xf numFmtId="3" fontId="4" fillId="0" borderId="4" xfId="0" applyNumberFormat="1" applyFont="1" applyBorder="1" applyAlignment="1">
      <alignment horizontal="center" vertical="center" wrapText="1"/>
    </xf>
    <xf numFmtId="4" fontId="13" fillId="0" borderId="13" xfId="0" applyNumberFormat="1" applyFont="1" applyBorder="1" applyAlignment="1">
      <alignment horizontal="center" vertical="center" wrapText="1"/>
    </xf>
    <xf numFmtId="171" fontId="13" fillId="0" borderId="3" xfId="0" applyNumberFormat="1" applyFont="1" applyBorder="1" applyAlignment="1">
      <alignment horizontal="center" vertical="center" wrapText="1"/>
    </xf>
    <xf numFmtId="0" fontId="15" fillId="0" borderId="1" xfId="0" applyFont="1" applyBorder="1" applyAlignment="1">
      <alignment vertical="center"/>
    </xf>
    <xf numFmtId="0" fontId="4" fillId="0" borderId="1" xfId="0" applyFont="1" applyBorder="1" applyAlignment="1">
      <alignment vertical="center"/>
    </xf>
    <xf numFmtId="0" fontId="13" fillId="3" borderId="1" xfId="0" applyFont="1" applyFill="1" applyBorder="1" applyAlignment="1">
      <alignment vertical="center" wrapText="1"/>
    </xf>
    <xf numFmtId="0" fontId="4" fillId="0" borderId="1" xfId="0" applyFont="1" applyBorder="1"/>
    <xf numFmtId="0" fontId="13" fillId="3" borderId="1" xfId="0" applyFont="1" applyFill="1" applyBorder="1" applyAlignment="1">
      <alignment vertical="center"/>
    </xf>
    <xf numFmtId="0" fontId="4" fillId="3" borderId="0" xfId="0" applyFont="1" applyFill="1" applyAlignment="1">
      <alignment horizontal="center" wrapText="1"/>
    </xf>
    <xf numFmtId="0" fontId="12" fillId="3" borderId="0" xfId="0" applyFont="1" applyFill="1" applyAlignment="1">
      <alignment horizontal="center" wrapText="1"/>
    </xf>
    <xf numFmtId="0" fontId="4" fillId="3" borderId="0" xfId="0" applyFont="1" applyFill="1" applyAlignment="1">
      <alignment wrapText="1"/>
    </xf>
    <xf numFmtId="0" fontId="4" fillId="0" borderId="0" xfId="0" applyFont="1" applyAlignment="1">
      <alignment wrapText="1"/>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13" fillId="0" borderId="12" xfId="0" applyFont="1" applyBorder="1" applyAlignment="1">
      <alignment vertical="center" wrapText="1"/>
    </xf>
    <xf numFmtId="0" fontId="13" fillId="0" borderId="13" xfId="0" applyFont="1" applyBorder="1" applyAlignment="1">
      <alignment vertical="center" wrapText="1"/>
    </xf>
    <xf numFmtId="0" fontId="13" fillId="0" borderId="3" xfId="0" applyFont="1" applyBorder="1" applyAlignment="1">
      <alignment vertical="center" wrapText="1"/>
    </xf>
    <xf numFmtId="0" fontId="11" fillId="3" borderId="3" xfId="0" applyFont="1" applyFill="1" applyBorder="1" applyAlignment="1">
      <alignment vertical="center" wrapText="1"/>
    </xf>
    <xf numFmtId="0" fontId="4" fillId="3" borderId="3" xfId="0" applyFont="1" applyFill="1" applyBorder="1" applyAlignment="1">
      <alignment vertical="center" wrapText="1"/>
    </xf>
    <xf numFmtId="0" fontId="33" fillId="3" borderId="3"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3" fillId="3" borderId="3" xfId="0" applyFont="1" applyFill="1" applyBorder="1" applyAlignment="1">
      <alignment vertical="center" wrapText="1"/>
    </xf>
    <xf numFmtId="0" fontId="10" fillId="0" borderId="0" xfId="0" applyFont="1" applyAlignment="1">
      <alignment horizontal="center" wrapText="1"/>
    </xf>
    <xf numFmtId="0" fontId="16" fillId="0" borderId="0" xfId="0" applyFont="1" applyAlignment="1">
      <alignment horizontal="center" wrapText="1"/>
    </xf>
    <xf numFmtId="0" fontId="4" fillId="5" borderId="1" xfId="0" applyFont="1" applyFill="1" applyBorder="1" applyAlignment="1">
      <alignment vertical="center"/>
    </xf>
    <xf numFmtId="0" fontId="13" fillId="3" borderId="1" xfId="0" applyFont="1" applyFill="1" applyBorder="1"/>
    <xf numFmtId="0" fontId="13" fillId="0" borderId="13" xfId="0" applyFont="1" applyBorder="1" applyAlignment="1">
      <alignment vertical="center"/>
    </xf>
    <xf numFmtId="0" fontId="27" fillId="0" borderId="3" xfId="0" applyFont="1" applyBorder="1" applyAlignment="1">
      <alignment vertical="center" wrapText="1"/>
    </xf>
    <xf numFmtId="0" fontId="26" fillId="0" borderId="3" xfId="0" applyFont="1" applyBorder="1" applyAlignment="1">
      <alignment vertical="center" wrapText="1"/>
    </xf>
    <xf numFmtId="0" fontId="26" fillId="0" borderId="3" xfId="0" applyFont="1" applyBorder="1" applyAlignment="1">
      <alignment vertical="center"/>
    </xf>
    <xf numFmtId="0" fontId="4" fillId="0" borderId="3" xfId="0" applyFont="1" applyBorder="1"/>
    <xf numFmtId="0" fontId="4" fillId="0" borderId="3" xfId="0" applyFont="1" applyBorder="1" applyAlignment="1">
      <alignment wrapText="1"/>
    </xf>
    <xf numFmtId="0" fontId="31" fillId="0" borderId="3" xfId="0" applyFont="1" applyBorder="1" applyAlignment="1">
      <alignment wrapText="1"/>
    </xf>
    <xf numFmtId="0" fontId="4" fillId="0" borderId="4" xfId="0" applyFont="1" applyBorder="1" applyAlignment="1">
      <alignment horizontal="center" vertical="center"/>
    </xf>
    <xf numFmtId="0" fontId="31" fillId="0" borderId="4" xfId="0" applyFont="1" applyBorder="1" applyAlignment="1">
      <alignment vertical="center" wrapText="1"/>
    </xf>
    <xf numFmtId="3" fontId="4" fillId="0" borderId="4" xfId="0" applyNumberFormat="1" applyFont="1" applyBorder="1" applyAlignment="1">
      <alignment horizontal="center" vertical="center"/>
    </xf>
    <xf numFmtId="0" fontId="13" fillId="0" borderId="4" xfId="0" applyFont="1" applyBorder="1" applyAlignment="1">
      <alignment vertical="center" wrapText="1"/>
    </xf>
    <xf numFmtId="0" fontId="31" fillId="3" borderId="14" xfId="0" applyFont="1" applyFill="1" applyBorder="1" applyAlignment="1">
      <alignment vertical="center" wrapText="1"/>
    </xf>
    <xf numFmtId="2" fontId="4" fillId="3" borderId="14" xfId="0" applyNumberFormat="1" applyFont="1" applyFill="1" applyBorder="1" applyAlignment="1">
      <alignment horizontal="center" vertical="center" wrapText="1"/>
    </xf>
    <xf numFmtId="171" fontId="4" fillId="3" borderId="14" xfId="0" applyNumberFormat="1" applyFont="1" applyFill="1" applyBorder="1" applyAlignment="1">
      <alignment horizontal="center" vertical="center" wrapText="1"/>
    </xf>
    <xf numFmtId="0" fontId="13" fillId="3" borderId="14" xfId="0" applyFont="1" applyFill="1" applyBorder="1" applyAlignment="1">
      <alignment horizontal="center" vertical="center"/>
    </xf>
    <xf numFmtId="0" fontId="29" fillId="3" borderId="14" xfId="0" applyFont="1" applyFill="1" applyBorder="1" applyAlignment="1">
      <alignment vertical="center" wrapText="1"/>
    </xf>
    <xf numFmtId="0" fontId="16" fillId="3" borderId="0" xfId="0" applyFont="1" applyFill="1" applyAlignment="1">
      <alignment horizontal="center"/>
    </xf>
    <xf numFmtId="0" fontId="16" fillId="3" borderId="0" xfId="0" applyFont="1" applyFill="1"/>
    <xf numFmtId="0" fontId="16" fillId="3" borderId="0" xfId="0" applyFont="1" applyFill="1" applyAlignment="1">
      <alignment horizontal="right"/>
    </xf>
    <xf numFmtId="3" fontId="4" fillId="0" borderId="5" xfId="0" applyNumberFormat="1" applyFont="1" applyBorder="1" applyAlignment="1">
      <alignment horizontal="center" vertical="center" wrapText="1"/>
    </xf>
    <xf numFmtId="0" fontId="4" fillId="0" borderId="1" xfId="0" applyFont="1" applyBorder="1" applyAlignment="1">
      <alignment vertical="center" wrapText="1"/>
    </xf>
    <xf numFmtId="3" fontId="13" fillId="3" borderId="1" xfId="0" applyNumberFormat="1" applyFont="1" applyFill="1" applyBorder="1" applyAlignment="1">
      <alignment horizontal="right" vertical="center"/>
    </xf>
    <xf numFmtId="3" fontId="13" fillId="3" borderId="1" xfId="0" applyNumberFormat="1" applyFont="1" applyFill="1" applyBorder="1" applyAlignment="1">
      <alignment horizontal="center" vertical="center" wrapText="1"/>
    </xf>
    <xf numFmtId="2" fontId="4" fillId="0" borderId="0" xfId="0" applyNumberFormat="1" applyFont="1" applyAlignment="1">
      <alignment vertical="center"/>
    </xf>
    <xf numFmtId="0" fontId="13" fillId="0" borderId="1" xfId="0" applyFont="1" applyBorder="1" applyAlignment="1">
      <alignment vertical="center"/>
    </xf>
    <xf numFmtId="3" fontId="13" fillId="0" borderId="1" xfId="0" applyNumberFormat="1" applyFont="1" applyBorder="1" applyAlignment="1">
      <alignment horizontal="right" vertical="center"/>
    </xf>
    <xf numFmtId="3" fontId="13"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3" fontId="4" fillId="0" borderId="1" xfId="0" applyNumberFormat="1" applyFont="1" applyBorder="1" applyAlignment="1">
      <alignment horizontal="right" vertical="center"/>
    </xf>
    <xf numFmtId="3" fontId="4" fillId="0" borderId="1" xfId="0" applyNumberFormat="1" applyFont="1" applyBorder="1" applyAlignment="1">
      <alignment vertical="center"/>
    </xf>
    <xf numFmtId="0" fontId="13" fillId="5"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3" fontId="4" fillId="5" borderId="1" xfId="0" applyNumberFormat="1" applyFont="1" applyFill="1" applyBorder="1" applyAlignment="1">
      <alignment horizontal="right" vertical="center"/>
    </xf>
    <xf numFmtId="3" fontId="4" fillId="5" borderId="1" xfId="0" applyNumberFormat="1" applyFont="1" applyFill="1" applyBorder="1" applyAlignment="1">
      <alignment vertical="center"/>
    </xf>
    <xf numFmtId="3" fontId="4" fillId="0" borderId="1" xfId="0" applyNumberFormat="1" applyFont="1" applyBorder="1" applyAlignment="1">
      <alignment horizontal="center" vertical="center" wrapText="1"/>
    </xf>
    <xf numFmtId="0" fontId="31" fillId="0" borderId="1" xfId="0" applyFont="1" applyBorder="1" applyAlignment="1">
      <alignment wrapText="1"/>
    </xf>
    <xf numFmtId="0" fontId="4" fillId="3" borderId="1" xfId="0" applyFont="1" applyFill="1" applyBorder="1" applyAlignment="1">
      <alignment horizontal="center" vertical="center"/>
    </xf>
    <xf numFmtId="0" fontId="31" fillId="0" borderId="1"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left" vertical="center" wrapText="1"/>
    </xf>
    <xf numFmtId="0" fontId="13" fillId="5" borderId="1" xfId="0" applyFont="1" applyFill="1" applyBorder="1" applyAlignment="1">
      <alignment horizontal="center" vertical="center" wrapText="1"/>
    </xf>
    <xf numFmtId="3" fontId="13" fillId="5" borderId="1" xfId="0" applyNumberFormat="1" applyFont="1" applyFill="1" applyBorder="1" applyAlignment="1">
      <alignment horizontal="right" vertical="center"/>
    </xf>
    <xf numFmtId="3" fontId="13" fillId="5"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xf>
    <xf numFmtId="2" fontId="13" fillId="3" borderId="1" xfId="0" applyNumberFormat="1" applyFont="1" applyFill="1" applyBorder="1" applyAlignment="1">
      <alignment vertical="center" wrapText="1"/>
    </xf>
    <xf numFmtId="171"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31" fillId="3" borderId="1" xfId="0" applyFont="1" applyFill="1" applyBorder="1" applyAlignment="1">
      <alignment vertical="center" wrapText="1"/>
    </xf>
    <xf numFmtId="0" fontId="29" fillId="3" borderId="1" xfId="0" applyFont="1" applyFill="1" applyBorder="1" applyAlignment="1">
      <alignment vertical="center" wrapText="1"/>
    </xf>
    <xf numFmtId="0" fontId="3" fillId="3" borderId="1" xfId="0" applyFont="1" applyFill="1" applyBorder="1" applyAlignment="1">
      <alignment vertical="center" wrapText="1"/>
    </xf>
    <xf numFmtId="0" fontId="4" fillId="3" borderId="1" xfId="0" applyFont="1" applyFill="1" applyBorder="1" applyAlignment="1">
      <alignment horizontal="justify" vertical="center" wrapText="1"/>
    </xf>
    <xf numFmtId="0" fontId="4" fillId="0" borderId="3" xfId="0" quotePrefix="1" applyFont="1" applyBorder="1" applyAlignment="1">
      <alignment horizontal="left" vertical="center" wrapText="1"/>
    </xf>
    <xf numFmtId="3" fontId="4" fillId="6" borderId="3" xfId="0" applyNumberFormat="1" applyFont="1" applyFill="1" applyBorder="1" applyAlignment="1">
      <alignment horizontal="right" vertical="center" wrapText="1"/>
    </xf>
    <xf numFmtId="0" fontId="4" fillId="0" borderId="4" xfId="0" applyFont="1" applyBorder="1" applyAlignment="1">
      <alignment vertical="center" wrapText="1"/>
    </xf>
    <xf numFmtId="0" fontId="4" fillId="3" borderId="4" xfId="0" applyFont="1" applyFill="1" applyBorder="1" applyAlignment="1">
      <alignment horizontal="left" vertical="center" wrapText="1"/>
    </xf>
    <xf numFmtId="0" fontId="4" fillId="5" borderId="1" xfId="0" applyFont="1" applyFill="1" applyBorder="1" applyAlignment="1">
      <alignment horizontal="justify" vertical="center" wrapText="1"/>
    </xf>
    <xf numFmtId="3" fontId="4" fillId="5" borderId="1" xfId="0" applyNumberFormat="1" applyFont="1" applyFill="1" applyBorder="1" applyAlignment="1">
      <alignment horizontal="center" vertical="center" wrapText="1"/>
    </xf>
    <xf numFmtId="0" fontId="27" fillId="0" borderId="2" xfId="0" applyFont="1" applyBorder="1" applyAlignment="1">
      <alignment horizontal="center" vertical="center" wrapText="1"/>
    </xf>
    <xf numFmtId="0" fontId="28" fillId="0" borderId="0" xfId="0" applyFont="1" applyAlignment="1">
      <alignment vertical="center"/>
    </xf>
    <xf numFmtId="0" fontId="21" fillId="0" borderId="1" xfId="0" applyFont="1" applyBorder="1" applyAlignment="1">
      <alignment horizontal="center" vertical="center"/>
    </xf>
    <xf numFmtId="0" fontId="19" fillId="0" borderId="0" xfId="0" applyFont="1" applyAlignment="1">
      <alignment vertical="center"/>
    </xf>
    <xf numFmtId="0" fontId="26" fillId="0" borderId="1" xfId="0" applyFont="1" applyBorder="1" applyAlignment="1">
      <alignment horizontal="right" vertical="center"/>
    </xf>
    <xf numFmtId="0" fontId="26" fillId="0" borderId="0" xfId="0" applyFont="1" applyAlignment="1">
      <alignment horizontal="right" vertical="center"/>
    </xf>
    <xf numFmtId="0" fontId="26" fillId="0" borderId="1" xfId="0" applyFont="1" applyBorder="1" applyAlignment="1">
      <alignment horizontal="left" vertical="center" wrapText="1"/>
    </xf>
    <xf numFmtId="0" fontId="19" fillId="0" borderId="0" xfId="0" applyFont="1" applyAlignment="1">
      <alignment horizontal="center" vertical="center"/>
    </xf>
    <xf numFmtId="0" fontId="27" fillId="0" borderId="9" xfId="0" applyFont="1" applyBorder="1" applyAlignment="1">
      <alignment horizontal="left" vertical="center" wrapText="1"/>
    </xf>
    <xf numFmtId="0" fontId="21" fillId="0" borderId="1" xfId="0" applyFont="1" applyBorder="1" applyAlignment="1">
      <alignment horizontal="center" vertical="center" wrapText="1"/>
    </xf>
    <xf numFmtId="0" fontId="27" fillId="0" borderId="10" xfId="0" applyFont="1" applyBorder="1" applyAlignment="1">
      <alignment horizontal="left" vertical="center" wrapText="1"/>
    </xf>
    <xf numFmtId="3" fontId="19" fillId="0" borderId="0" xfId="0" applyNumberFormat="1" applyFont="1" applyAlignment="1">
      <alignment horizontal="center" vertical="center"/>
    </xf>
    <xf numFmtId="0" fontId="26" fillId="0" borderId="5" xfId="0" applyFont="1" applyBorder="1" applyAlignment="1">
      <alignment horizontal="center" vertical="center" wrapText="1"/>
    </xf>
    <xf numFmtId="0" fontId="27" fillId="0" borderId="2" xfId="0" applyFont="1" applyBorder="1" applyAlignment="1">
      <alignment horizontal="center" vertical="center"/>
    </xf>
    <xf numFmtId="3" fontId="26" fillId="0" borderId="1" xfId="0" applyNumberFormat="1" applyFont="1" applyBorder="1" applyAlignment="1">
      <alignment horizontal="right" vertical="center" wrapText="1"/>
    </xf>
    <xf numFmtId="0" fontId="27" fillId="0" borderId="17" xfId="0" applyFont="1" applyBorder="1" applyAlignment="1">
      <alignment vertical="center" wrapText="1"/>
    </xf>
    <xf numFmtId="0" fontId="27" fillId="0" borderId="18" xfId="0" applyFont="1" applyBorder="1" applyAlignment="1">
      <alignment vertical="center" wrapText="1"/>
    </xf>
    <xf numFmtId="0" fontId="27" fillId="0" borderId="19" xfId="0" applyFont="1" applyBorder="1" applyAlignment="1">
      <alignment vertical="center" wrapText="1"/>
    </xf>
    <xf numFmtId="0" fontId="27" fillId="0" borderId="9" xfId="0" applyFont="1" applyBorder="1" applyAlignment="1">
      <alignment vertical="center" wrapText="1"/>
    </xf>
    <xf numFmtId="0" fontId="26" fillId="5" borderId="0" xfId="0" applyFont="1" applyFill="1" applyAlignment="1">
      <alignment vertical="center"/>
    </xf>
    <xf numFmtId="3" fontId="27" fillId="0" borderId="1" xfId="0" applyNumberFormat="1" applyFont="1" applyBorder="1" applyAlignment="1">
      <alignment vertical="center" wrapText="1"/>
    </xf>
    <xf numFmtId="3" fontId="27" fillId="0" borderId="1" xfId="0" applyNumberFormat="1" applyFont="1" applyBorder="1" applyAlignment="1">
      <alignment horizontal="right" vertical="center"/>
    </xf>
    <xf numFmtId="3" fontId="27" fillId="0" borderId="1" xfId="0" applyNumberFormat="1" applyFont="1" applyBorder="1" applyAlignment="1">
      <alignment horizontal="right" vertical="center" wrapText="1"/>
    </xf>
    <xf numFmtId="0" fontId="27" fillId="5" borderId="0" xfId="0" applyFont="1" applyFill="1" applyAlignment="1">
      <alignment vertical="center"/>
    </xf>
    <xf numFmtId="0" fontId="27" fillId="0" borderId="1" xfId="0" applyFont="1" applyBorder="1" applyAlignment="1">
      <alignment horizontal="left" vertical="center" wrapText="1"/>
    </xf>
    <xf numFmtId="0" fontId="27" fillId="0" borderId="19" xfId="0" applyFont="1" applyBorder="1" applyAlignment="1">
      <alignment horizontal="left" vertical="center" wrapText="1"/>
    </xf>
    <xf numFmtId="0" fontId="26" fillId="5" borderId="1" xfId="0" applyFont="1" applyFill="1" applyBorder="1" applyAlignment="1">
      <alignment horizontal="center" vertical="center"/>
    </xf>
    <xf numFmtId="0" fontId="26" fillId="5" borderId="1" xfId="0" applyFont="1" applyFill="1" applyBorder="1" applyAlignment="1">
      <alignment horizontal="left" vertical="center" wrapText="1"/>
    </xf>
    <xf numFmtId="3" fontId="26" fillId="5" borderId="1" xfId="0" applyNumberFormat="1" applyFont="1" applyFill="1" applyBorder="1" applyAlignment="1">
      <alignment horizontal="right" vertical="center" wrapText="1"/>
    </xf>
    <xf numFmtId="0" fontId="26" fillId="5" borderId="1" xfId="0" applyFont="1" applyFill="1" applyBorder="1" applyAlignment="1">
      <alignment horizontal="center" vertical="center" wrapText="1"/>
    </xf>
    <xf numFmtId="166" fontId="19" fillId="0" borderId="0" xfId="0" applyNumberFormat="1" applyFont="1" applyAlignment="1">
      <alignment horizontal="center" vertical="center"/>
    </xf>
    <xf numFmtId="0" fontId="34" fillId="0" borderId="0" xfId="0" applyFont="1" applyAlignment="1">
      <alignment vertical="center"/>
    </xf>
    <xf numFmtId="0" fontId="1" fillId="0" borderId="1" xfId="0" applyFont="1" applyBorder="1" applyAlignment="1">
      <alignment horizontal="center"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1" fillId="0" borderId="0" xfId="0" applyFont="1" applyAlignment="1">
      <alignment vertical="center"/>
    </xf>
    <xf numFmtId="0" fontId="27" fillId="0" borderId="1" xfId="0" applyFont="1" applyBorder="1" applyAlignment="1">
      <alignment vertical="center" wrapText="1"/>
    </xf>
    <xf numFmtId="0" fontId="34" fillId="0" borderId="1" xfId="0" applyFont="1" applyBorder="1" applyAlignment="1">
      <alignment horizontal="center" vertical="center" wrapText="1"/>
    </xf>
    <xf numFmtId="166" fontId="1" fillId="0" borderId="1" xfId="3" applyNumberFormat="1" applyFont="1" applyFill="1" applyBorder="1" applyAlignment="1">
      <alignment horizontal="center" vertical="center"/>
    </xf>
    <xf numFmtId="164" fontId="19" fillId="0" borderId="0" xfId="3" applyFont="1" applyFill="1" applyAlignment="1">
      <alignment horizontal="center" vertical="center"/>
    </xf>
    <xf numFmtId="0" fontId="34" fillId="0" borderId="1" xfId="0" applyFont="1" applyBorder="1" applyAlignment="1">
      <alignment horizontal="center" vertical="center"/>
    </xf>
    <xf numFmtId="0" fontId="34" fillId="0" borderId="1" xfId="0" applyFont="1" applyBorder="1" applyAlignment="1">
      <alignment vertical="center"/>
    </xf>
    <xf numFmtId="0" fontId="34" fillId="0" borderId="1" xfId="0" applyFont="1" applyBorder="1" applyAlignment="1">
      <alignment horizontal="left" vertical="center" wrapText="1"/>
    </xf>
    <xf numFmtId="166" fontId="34" fillId="0" borderId="1" xfId="3" applyNumberFormat="1" applyFont="1" applyFill="1" applyBorder="1" applyAlignment="1">
      <alignment vertical="center"/>
    </xf>
    <xf numFmtId="0" fontId="19" fillId="0" borderId="0" xfId="0" applyFont="1" applyAlignment="1">
      <alignment horizontal="left" vertical="center"/>
    </xf>
    <xf numFmtId="0" fontId="21" fillId="0" borderId="1" xfId="0" applyFont="1" applyBorder="1" applyAlignment="1">
      <alignment horizontal="left" vertical="center" wrapText="1"/>
    </xf>
    <xf numFmtId="0" fontId="29" fillId="0" borderId="0" xfId="0" applyFont="1"/>
    <xf numFmtId="0" fontId="31" fillId="0" borderId="0" xfId="0" applyFont="1" applyAlignment="1">
      <alignment horizontal="center" vertical="center"/>
    </xf>
    <xf numFmtId="3" fontId="31" fillId="0" borderId="0" xfId="0" applyNumberFormat="1" applyFont="1" applyAlignment="1">
      <alignment horizontal="center" vertical="center"/>
    </xf>
    <xf numFmtId="0" fontId="31" fillId="0" borderId="0" xfId="0" applyFont="1" applyAlignment="1">
      <alignment horizontal="left" vertical="center"/>
    </xf>
    <xf numFmtId="3" fontId="29" fillId="0" borderId="1" xfId="0" applyNumberFormat="1" applyFont="1" applyBorder="1" applyAlignment="1">
      <alignment horizontal="center" vertical="center"/>
    </xf>
    <xf numFmtId="0" fontId="29" fillId="0" borderId="1" xfId="0" applyFont="1" applyBorder="1" applyAlignment="1">
      <alignment horizontal="left" vertical="center"/>
    </xf>
    <xf numFmtId="0" fontId="29" fillId="0" borderId="0" xfId="0" applyFont="1" applyAlignment="1">
      <alignment horizontal="center" vertical="center"/>
    </xf>
    <xf numFmtId="0" fontId="31" fillId="0" borderId="1" xfId="0" applyFont="1" applyBorder="1" applyAlignment="1">
      <alignment horizontal="center" vertical="center"/>
    </xf>
    <xf numFmtId="3" fontId="31" fillId="0" borderId="1" xfId="0" applyNumberFormat="1"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left" vertical="center" wrapText="1"/>
    </xf>
    <xf numFmtId="0" fontId="31" fillId="0" borderId="1" xfId="0" applyFont="1" applyBorder="1"/>
    <xf numFmtId="0" fontId="31" fillId="0" borderId="0" xfId="0" applyFont="1" applyAlignment="1">
      <alignment vertical="center" wrapText="1"/>
    </xf>
    <xf numFmtId="3" fontId="31" fillId="0" borderId="0" xfId="0" applyNumberFormat="1" applyFont="1" applyAlignment="1">
      <alignment horizontal="center" vertical="center" wrapText="1"/>
    </xf>
    <xf numFmtId="0" fontId="31" fillId="0" borderId="0" xfId="0" applyFont="1" applyAlignment="1">
      <alignment horizontal="center" vertical="center" wrapText="1"/>
    </xf>
    <xf numFmtId="0" fontId="34" fillId="0" borderId="1" xfId="0" applyFont="1" applyBorder="1" applyAlignment="1">
      <alignment vertical="center" wrapText="1"/>
    </xf>
    <xf numFmtId="0" fontId="27" fillId="0" borderId="9" xfId="0" applyFont="1" applyBorder="1" applyAlignment="1">
      <alignment horizontal="center" vertical="center"/>
    </xf>
    <xf numFmtId="0" fontId="26" fillId="0" borderId="1" xfId="0" quotePrefix="1" applyFont="1" applyBorder="1" applyAlignment="1">
      <alignment horizontal="left" vertical="center" wrapText="1"/>
    </xf>
    <xf numFmtId="0" fontId="2" fillId="0" borderId="1" xfId="0" applyFont="1" applyBorder="1" applyAlignment="1">
      <alignment horizontal="center" vertical="center" wrapText="1"/>
    </xf>
    <xf numFmtId="0" fontId="28" fillId="0" borderId="9" xfId="0" applyFont="1" applyBorder="1" applyAlignment="1">
      <alignment horizontal="center" vertical="center"/>
    </xf>
    <xf numFmtId="3" fontId="26" fillId="0" borderId="0" xfId="0" applyNumberFormat="1" applyFont="1" applyAlignment="1">
      <alignment vertical="center"/>
    </xf>
    <xf numFmtId="0" fontId="26" fillId="0" borderId="1" xfId="0" quotePrefix="1" applyFont="1" applyBorder="1" applyAlignment="1">
      <alignment horizontal="center" vertical="center" wrapText="1"/>
    </xf>
    <xf numFmtId="0" fontId="26" fillId="0" borderId="0" xfId="0" quotePrefix="1" applyFont="1" applyAlignment="1">
      <alignment horizontal="center" vertical="center" wrapText="1"/>
    </xf>
    <xf numFmtId="166" fontId="34" fillId="0" borderId="1" xfId="3" applyNumberFormat="1" applyFont="1" applyFill="1" applyBorder="1" applyAlignment="1">
      <alignment horizontal="right" vertical="center" wrapText="1"/>
    </xf>
    <xf numFmtId="0" fontId="34" fillId="0" borderId="1" xfId="0" quotePrefix="1" applyFont="1" applyBorder="1" applyAlignment="1">
      <alignment horizontal="left" vertical="center" wrapText="1"/>
    </xf>
    <xf numFmtId="0" fontId="27" fillId="0" borderId="1" xfId="0" applyFont="1" applyBorder="1" applyAlignment="1">
      <alignment horizontal="right" vertical="center"/>
    </xf>
    <xf numFmtId="0" fontId="26" fillId="0" borderId="1" xfId="0" applyFont="1" applyBorder="1" applyAlignment="1">
      <alignment horizontal="right" vertical="center" wrapText="1"/>
    </xf>
    <xf numFmtId="166" fontId="26" fillId="0" borderId="1" xfId="3" applyNumberFormat="1" applyFont="1" applyFill="1" applyBorder="1" applyAlignment="1">
      <alignment horizontal="right" vertical="center" wrapText="1"/>
    </xf>
    <xf numFmtId="166" fontId="26" fillId="0" borderId="1" xfId="3" applyNumberFormat="1" applyFont="1" applyFill="1" applyBorder="1" applyAlignment="1">
      <alignment horizontal="right" vertical="center"/>
    </xf>
    <xf numFmtId="166" fontId="26" fillId="0" borderId="0" xfId="0" applyNumberFormat="1" applyFont="1" applyAlignment="1">
      <alignment vertical="center"/>
    </xf>
    <xf numFmtId="0" fontId="26" fillId="5" borderId="1" xfId="0" quotePrefix="1" applyFont="1" applyFill="1" applyBorder="1" applyAlignment="1">
      <alignment horizontal="center" vertical="center" wrapText="1"/>
    </xf>
    <xf numFmtId="0" fontId="34" fillId="5" borderId="1" xfId="0" applyFont="1" applyFill="1" applyBorder="1" applyAlignment="1">
      <alignment horizontal="center" vertical="center"/>
    </xf>
    <xf numFmtId="0" fontId="34" fillId="5" borderId="1" xfId="0" applyFont="1" applyFill="1" applyBorder="1" applyAlignment="1">
      <alignment horizontal="left" vertical="center" wrapText="1"/>
    </xf>
    <xf numFmtId="0" fontId="34" fillId="5" borderId="1" xfId="0" applyFont="1" applyFill="1" applyBorder="1" applyAlignment="1">
      <alignment horizontal="center" vertical="center" wrapText="1"/>
    </xf>
    <xf numFmtId="166" fontId="34" fillId="5" borderId="1" xfId="3" applyNumberFormat="1" applyFont="1" applyFill="1" applyBorder="1" applyAlignment="1">
      <alignment vertical="center"/>
    </xf>
    <xf numFmtId="0" fontId="34" fillId="5" borderId="1" xfId="0" applyFont="1" applyFill="1" applyBorder="1" applyAlignment="1">
      <alignment vertical="center"/>
    </xf>
    <xf numFmtId="0" fontId="34" fillId="5" borderId="0" xfId="0" applyFont="1" applyFill="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164" fontId="2" fillId="0" borderId="0" xfId="3" applyFont="1" applyFill="1" applyAlignment="1">
      <alignment horizontal="center" vertical="center"/>
    </xf>
    <xf numFmtId="166" fontId="2" fillId="0" borderId="0" xfId="0" applyNumberFormat="1" applyFont="1" applyAlignment="1">
      <alignment horizontal="center" vertical="center"/>
    </xf>
    <xf numFmtId="3" fontId="2" fillId="0" borderId="0" xfId="0" applyNumberFormat="1" applyFont="1" applyAlignment="1">
      <alignment horizontal="center" vertical="center"/>
    </xf>
    <xf numFmtId="3" fontId="26" fillId="0" borderId="1" xfId="0" applyNumberFormat="1" applyFont="1" applyBorder="1" applyAlignment="1">
      <alignment vertical="center" wrapText="1"/>
    </xf>
    <xf numFmtId="0" fontId="26" fillId="0" borderId="0" xfId="0" applyFont="1" applyAlignment="1">
      <alignment horizontal="center" vertical="center" wrapText="1"/>
    </xf>
    <xf numFmtId="0" fontId="39" fillId="0" borderId="1" xfId="0" applyFont="1" applyBorder="1" applyAlignment="1">
      <alignment horizontal="left" vertical="center" wrapText="1"/>
    </xf>
    <xf numFmtId="166" fontId="26" fillId="0" borderId="1" xfId="3" applyNumberFormat="1" applyFont="1" applyFill="1" applyBorder="1" applyAlignment="1">
      <alignment vertical="center"/>
    </xf>
    <xf numFmtId="4" fontId="34" fillId="0" borderId="0" xfId="0" applyNumberFormat="1" applyFont="1" applyAlignment="1">
      <alignment vertical="center"/>
    </xf>
    <xf numFmtId="0" fontId="42" fillId="0" borderId="0" xfId="0" applyFont="1" applyAlignment="1">
      <alignment vertical="center"/>
    </xf>
    <xf numFmtId="0" fontId="43" fillId="0" borderId="0" xfId="0" applyFont="1" applyAlignment="1">
      <alignment vertical="center"/>
    </xf>
    <xf numFmtId="0" fontId="4" fillId="0" borderId="1" xfId="0" quotePrefix="1" applyFont="1" applyBorder="1" applyAlignment="1">
      <alignment horizontal="left" vertical="top" wrapText="1"/>
    </xf>
    <xf numFmtId="0" fontId="4" fillId="0" borderId="1" xfId="0" applyFont="1" applyBorder="1" applyAlignment="1">
      <alignment horizontal="center" vertical="top" wrapText="1"/>
    </xf>
    <xf numFmtId="0" fontId="4" fillId="0" borderId="0" xfId="0" applyFont="1" applyAlignment="1">
      <alignment horizontal="center" vertical="center" wrapText="1"/>
    </xf>
    <xf numFmtId="3" fontId="13" fillId="0" borderId="1" xfId="0" applyNumberFormat="1" applyFont="1" applyBorder="1" applyAlignment="1">
      <alignment horizontal="center" vertical="center"/>
    </xf>
    <xf numFmtId="0" fontId="4" fillId="0" borderId="0" xfId="0" applyFont="1" applyAlignment="1">
      <alignment horizontal="center" vertical="center"/>
    </xf>
    <xf numFmtId="0" fontId="35" fillId="0" borderId="1" xfId="0" applyFont="1" applyBorder="1" applyAlignment="1">
      <alignment vertical="center"/>
    </xf>
    <xf numFmtId="0" fontId="28" fillId="0" borderId="20" xfId="0" applyFont="1" applyBorder="1" applyAlignment="1">
      <alignment horizontal="right"/>
    </xf>
    <xf numFmtId="0" fontId="28" fillId="0" borderId="0" xfId="0" applyFont="1" applyAlignment="1">
      <alignment horizontal="right"/>
    </xf>
    <xf numFmtId="0" fontId="28" fillId="0" borderId="0" xfId="0" applyFont="1" applyAlignment="1">
      <alignment horizontal="center"/>
    </xf>
    <xf numFmtId="0" fontId="27" fillId="0" borderId="0" xfId="0" applyFont="1" applyAlignment="1">
      <alignment horizontal="center" vertical="center"/>
    </xf>
    <xf numFmtId="0" fontId="29"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4" fillId="3" borderId="3" xfId="0" applyFont="1" applyFill="1" applyBorder="1" applyAlignment="1">
      <alignment horizontal="center" vertical="center"/>
    </xf>
    <xf numFmtId="0" fontId="15" fillId="0" borderId="20" xfId="0" applyFont="1" applyBorder="1" applyAlignment="1">
      <alignment horizontal="right"/>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4" fillId="0" borderId="3" xfId="0" applyFont="1" applyBorder="1" applyAlignment="1">
      <alignment horizontal="center" vertical="center" wrapText="1"/>
    </xf>
    <xf numFmtId="0" fontId="13" fillId="0" borderId="0" xfId="0" applyFont="1" applyAlignment="1">
      <alignment horizontal="center"/>
    </xf>
    <xf numFmtId="0" fontId="12" fillId="0" borderId="0" xfId="0" applyFont="1" applyAlignment="1">
      <alignment horizontal="center"/>
    </xf>
    <xf numFmtId="0" fontId="17" fillId="7" borderId="0" xfId="0" applyFont="1" applyFill="1" applyAlignment="1">
      <alignment horizontal="center" vertical="center"/>
    </xf>
    <xf numFmtId="0" fontId="14" fillId="0" borderId="0" xfId="0" applyFont="1" applyAlignment="1">
      <alignment horizontal="center"/>
    </xf>
    <xf numFmtId="0" fontId="10" fillId="3" borderId="0" xfId="0" applyFont="1" applyFill="1" applyAlignment="1">
      <alignment horizontal="center"/>
    </xf>
    <xf numFmtId="0" fontId="16" fillId="3" borderId="0" xfId="0" applyFont="1" applyFill="1" applyAlignment="1">
      <alignment horizontal="center"/>
    </xf>
    <xf numFmtId="0" fontId="17" fillId="5" borderId="0" xfId="0" applyFont="1" applyFill="1" applyAlignment="1">
      <alignment horizontal="center" vertical="center"/>
    </xf>
    <xf numFmtId="2" fontId="35" fillId="0" borderId="0" xfId="0" applyNumberFormat="1" applyFont="1" applyAlignment="1">
      <alignment horizontal="center" vertical="center"/>
    </xf>
    <xf numFmtId="0" fontId="36" fillId="0" borderId="0" xfId="0" applyFont="1" applyAlignment="1">
      <alignment horizontal="center" vertical="center"/>
    </xf>
    <xf numFmtId="0" fontId="27" fillId="0" borderId="6"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9" xfId="0" applyFont="1" applyBorder="1" applyAlignment="1">
      <alignment horizontal="center" vertical="center" wrapText="1"/>
    </xf>
    <xf numFmtId="0" fontId="28" fillId="0" borderId="6" xfId="0" applyFont="1" applyBorder="1" applyAlignment="1">
      <alignment horizontal="center" vertical="center"/>
    </xf>
    <xf numFmtId="0" fontId="28" fillId="0" borderId="19" xfId="0" applyFont="1" applyBorder="1" applyAlignment="1">
      <alignment horizontal="center" vertical="center"/>
    </xf>
    <xf numFmtId="0" fontId="28" fillId="0" borderId="9" xfId="0" applyFont="1" applyBorder="1" applyAlignment="1">
      <alignment horizontal="center" vertical="center"/>
    </xf>
    <xf numFmtId="0" fontId="27" fillId="0" borderId="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1" xfId="0" applyFont="1" applyBorder="1" applyAlignment="1">
      <alignment horizontal="center" vertical="center" wrapText="1"/>
    </xf>
    <xf numFmtId="0" fontId="4" fillId="5" borderId="1" xfId="0" applyFont="1" applyFill="1" applyBorder="1" applyAlignment="1">
      <alignment horizontal="center" vertical="center" wrapText="1"/>
    </xf>
    <xf numFmtId="0" fontId="17" fillId="3" borderId="0" xfId="0" applyFont="1" applyFill="1" applyAlignment="1">
      <alignment horizontal="center" vertical="center"/>
    </xf>
    <xf numFmtId="2" fontId="13" fillId="0" borderId="0" xfId="0" applyNumberFormat="1" applyFont="1" applyAlignment="1">
      <alignment horizontal="center" vertical="center"/>
    </xf>
    <xf numFmtId="0" fontId="22" fillId="0" borderId="0" xfId="0" applyFont="1" applyAlignment="1">
      <alignment horizontal="center" vertical="center"/>
    </xf>
    <xf numFmtId="0" fontId="20" fillId="0" borderId="20" xfId="0" applyFont="1" applyBorder="1" applyAlignment="1">
      <alignment horizontal="right" vertical="center"/>
    </xf>
    <xf numFmtId="0" fontId="1" fillId="0" borderId="1" xfId="0" applyFont="1" applyBorder="1" applyAlignment="1">
      <alignment horizontal="center" vertical="center"/>
    </xf>
    <xf numFmtId="0" fontId="27" fillId="0" borderId="1" xfId="0" applyFont="1" applyBorder="1" applyAlignment="1">
      <alignment horizontal="center" vertical="center"/>
    </xf>
    <xf numFmtId="0" fontId="27" fillId="0" borderId="6" xfId="0" applyFont="1" applyBorder="1" applyAlignment="1">
      <alignment horizontal="center" vertical="center"/>
    </xf>
    <xf numFmtId="0" fontId="27" fillId="0" borderId="19" xfId="0" applyFont="1" applyBorder="1" applyAlignment="1">
      <alignment horizontal="center" vertical="center"/>
    </xf>
    <xf numFmtId="0" fontId="27" fillId="0" borderId="9" xfId="0" applyFont="1" applyBorder="1" applyAlignment="1">
      <alignment horizontal="center" vertical="center"/>
    </xf>
    <xf numFmtId="2" fontId="27" fillId="0" borderId="0" xfId="0" applyNumberFormat="1" applyFont="1" applyAlignment="1">
      <alignment horizontal="center" vertical="center"/>
    </xf>
    <xf numFmtId="0" fontId="37" fillId="0" borderId="0" xfId="0" applyFont="1" applyAlignment="1">
      <alignment horizontal="center" vertical="center"/>
    </xf>
    <xf numFmtId="0" fontId="28" fillId="0" borderId="20" xfId="0" applyFont="1" applyBorder="1" applyAlignment="1">
      <alignment horizontal="right" vertical="center"/>
    </xf>
    <xf numFmtId="0" fontId="27" fillId="0" borderId="1" xfId="0" applyFont="1" applyBorder="1" applyAlignment="1">
      <alignment horizontal="left" vertical="center" wrapText="1"/>
    </xf>
    <xf numFmtId="0" fontId="27" fillId="0" borderId="6" xfId="0" applyFont="1" applyBorder="1" applyAlignment="1">
      <alignment horizontal="left" vertical="center" wrapText="1"/>
    </xf>
    <xf numFmtId="0" fontId="27" fillId="0" borderId="19" xfId="0" applyFont="1" applyBorder="1" applyAlignment="1">
      <alignment horizontal="left" vertical="center" wrapText="1"/>
    </xf>
    <xf numFmtId="0" fontId="27" fillId="0" borderId="9" xfId="0" applyFont="1" applyBorder="1" applyAlignment="1">
      <alignment horizontal="left" vertical="center" wrapText="1"/>
    </xf>
    <xf numFmtId="0" fontId="13" fillId="0" borderId="1" xfId="0" applyFont="1" applyBorder="1" applyAlignment="1">
      <alignment horizontal="center" vertical="center" wrapText="1"/>
    </xf>
    <xf numFmtId="0" fontId="4" fillId="0" borderId="0" xfId="0" applyFont="1" applyAlignment="1">
      <alignment horizontal="center" vertical="center"/>
    </xf>
    <xf numFmtId="2" fontId="40" fillId="0" borderId="0" xfId="0" applyNumberFormat="1" applyFont="1" applyAlignment="1">
      <alignment horizontal="center" vertical="center" wrapText="1"/>
    </xf>
    <xf numFmtId="2" fontId="41" fillId="0" borderId="0" xfId="0" applyNumberFormat="1" applyFont="1" applyAlignment="1">
      <alignment horizontal="center" vertical="center"/>
    </xf>
    <xf numFmtId="0" fontId="42" fillId="0" borderId="20" xfId="0" applyFont="1" applyBorder="1" applyAlignment="1">
      <alignment horizontal="center" vertical="center"/>
    </xf>
    <xf numFmtId="0" fontId="13" fillId="0" borderId="1" xfId="0" applyFont="1" applyBorder="1" applyAlignment="1">
      <alignment horizontal="center" vertical="center"/>
    </xf>
    <xf numFmtId="0" fontId="38" fillId="0" borderId="0" xfId="0" applyFont="1" applyAlignment="1">
      <alignment horizontal="center" vertical="center"/>
    </xf>
    <xf numFmtId="0" fontId="29" fillId="0" borderId="0" xfId="0" applyFont="1" applyAlignment="1">
      <alignment horizontal="center"/>
    </xf>
    <xf numFmtId="0" fontId="30" fillId="0" borderId="0" xfId="0" applyFont="1" applyAlignment="1">
      <alignment horizontal="center"/>
    </xf>
    <xf numFmtId="0" fontId="30" fillId="0" borderId="20" xfId="0" applyFont="1" applyBorder="1" applyAlignment="1">
      <alignment horizontal="right"/>
    </xf>
  </cellXfs>
  <cellStyles count="6">
    <cellStyle name="~1" xfId="1"/>
    <cellStyle name="Check Cell" xfId="2" builtinId="23"/>
    <cellStyle name="Comma" xfId="3" builtinId="3"/>
    <cellStyle name="Comma 2" xfId="4"/>
    <cellStyle name="Comma 4" xfId="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26" Type="http://schemas.openxmlformats.org/officeDocument/2006/relationships/calcChain" Target="calcChain.xml"/><Relationship Id="rId3" Type="http://schemas.openxmlformats.org/officeDocument/2006/relationships/chartsheet" Target="chartsheets/sheet1.xml"/><Relationship Id="rId21" Type="http://schemas.openxmlformats.org/officeDocument/2006/relationships/worksheet" Target="worksheets/sheet20.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worksheet" Target="work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styles" Target="styles.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theme" Target="theme/theme1.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worksheet" Target="worksheets/sheet2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trình'!$Q$3:$Q$22</c:f>
              <c:numCache>
                <c:formatCode>General</c:formatCode>
                <c:ptCount val="20"/>
                <c:pt idx="0">
                  <c:v>0</c:v>
                </c:pt>
              </c:numCache>
            </c:numRef>
          </c:val>
          <c:extLst>
            <c:ext xmlns:c16="http://schemas.microsoft.com/office/drawing/2014/chart" uri="{C3380CC4-5D6E-409C-BE32-E72D297353CC}">
              <c16:uniqueId val="{00000000-1695-AC49-BBAD-27336D1C8996}"/>
            </c:ext>
          </c:extLst>
        </c:ser>
        <c:ser>
          <c:idx val="1"/>
          <c:order val="1"/>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trình'!$R$3:$R$22</c:f>
              <c:numCache>
                <c:formatCode>General</c:formatCode>
                <c:ptCount val="20"/>
              </c:numCache>
            </c:numRef>
          </c:val>
          <c:extLst>
            <c:ext xmlns:c16="http://schemas.microsoft.com/office/drawing/2014/chart" uri="{C3380CC4-5D6E-409C-BE32-E72D297353CC}">
              <c16:uniqueId val="{00000001-1695-AC49-BBAD-27336D1C8996}"/>
            </c:ext>
          </c:extLst>
        </c:ser>
        <c:ser>
          <c:idx val="2"/>
          <c:order val="2"/>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trình'!$S$3:$S$22</c:f>
              <c:numCache>
                <c:formatCode>General</c:formatCode>
                <c:ptCount val="20"/>
                <c:pt idx="0">
                  <c:v>0</c:v>
                </c:pt>
              </c:numCache>
            </c:numRef>
          </c:val>
          <c:extLst>
            <c:ext xmlns:c16="http://schemas.microsoft.com/office/drawing/2014/chart" uri="{C3380CC4-5D6E-409C-BE32-E72D297353CC}">
              <c16:uniqueId val="{00000002-1695-AC49-BBAD-27336D1C8996}"/>
            </c:ext>
          </c:extLst>
        </c:ser>
        <c:ser>
          <c:idx val="3"/>
          <c:order val="3"/>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trình'!$T$3:$T$22</c:f>
              <c:numCache>
                <c:formatCode>General</c:formatCode>
                <c:ptCount val="20"/>
              </c:numCache>
            </c:numRef>
          </c:val>
          <c:extLst>
            <c:ext xmlns:c16="http://schemas.microsoft.com/office/drawing/2014/chart" uri="{C3380CC4-5D6E-409C-BE32-E72D297353CC}">
              <c16:uniqueId val="{00000003-1695-AC49-BBAD-27336D1C8996}"/>
            </c:ext>
          </c:extLst>
        </c:ser>
        <c:ser>
          <c:idx val="4"/>
          <c:order val="4"/>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trình'!$U$3:$U$22</c:f>
              <c:numCache>
                <c:formatCode>General</c:formatCode>
                <c:ptCount val="20"/>
                <c:pt idx="0">
                  <c:v>0</c:v>
                </c:pt>
              </c:numCache>
            </c:numRef>
          </c:val>
          <c:extLst>
            <c:ext xmlns:c16="http://schemas.microsoft.com/office/drawing/2014/chart" uri="{C3380CC4-5D6E-409C-BE32-E72D297353CC}">
              <c16:uniqueId val="{00000004-1695-AC49-BBAD-27336D1C8996}"/>
            </c:ext>
          </c:extLst>
        </c:ser>
        <c:ser>
          <c:idx val="5"/>
          <c:order val="5"/>
          <c:invertIfNegative val="0"/>
          <c:cat>
            <c:multiLvlStrRef>
              <c:f>'DM 19 công trình'!$A$3:$P$22</c:f>
              <c:multiLvlStrCache>
                <c:ptCount val="40"/>
                <c:lvl>
                  <c:pt idx="0">
                    <c:v>Tổng mức dự kiến
(tỷ đồng)</c:v>
                  </c:pt>
                  <c:pt idx="1">
                    <c:v>3</c:v>
                  </c:pt>
                  <c:pt idx="2">
                    <c:v> 3,220 </c:v>
                  </c:pt>
                  <c:pt idx="3">
                    <c:v> 19,050 </c:v>
                  </c:pt>
                  <c:pt idx="4">
                    <c:v> 11,120 </c:v>
                  </c:pt>
                  <c:pt idx="5">
                    <c:v> 12,585 </c:v>
                  </c:pt>
                  <c:pt idx="6">
                    <c:v> 1,344 </c:v>
                  </c:pt>
                  <c:pt idx="7">
                    <c:v> 9,516 </c:v>
                  </c:pt>
                  <c:pt idx="8">
                    <c:v> 9,348 </c:v>
                  </c:pt>
                  <c:pt idx="9">
                    <c:v> 19,505 </c:v>
                  </c:pt>
                  <c:pt idx="10">
                    <c:v> 9,199 </c:v>
                  </c:pt>
                  <c:pt idx="11">
                    <c:v> 1,601 </c:v>
                  </c:pt>
                  <c:pt idx="12">
                    <c:v> 9,145 </c:v>
                  </c:pt>
                  <c:pt idx="13">
                    <c:v> 11,158 </c:v>
                  </c:pt>
                  <c:pt idx="14">
                    <c:v> 21,190 </c:v>
                  </c:pt>
                  <c:pt idx="15">
                    <c:v> 31,540 </c:v>
                  </c:pt>
                  <c:pt idx="16">
                    <c:v> 13,817 </c:v>
                  </c:pt>
                  <c:pt idx="17">
                    <c:v> 29,749 </c:v>
                  </c:pt>
                  <c:pt idx="18">
                    <c:v> 5,484 </c:v>
                  </c:pt>
                  <c:pt idx="19">
                    <c:v> 12,081 </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Diện tích ĐCQH 2020</c:v>
                  </c:pt>
                  <c:pt idx="20">
                    <c:v>QĐ chỉ định TVTK</c:v>
                  </c:pt>
                  <c:pt idx="22">
                    <c:v>1011/QĐ-UBND</c:v>
                  </c:pt>
                  <c:pt idx="23">
                    <c:v>1015/QĐ-UBND</c:v>
                  </c:pt>
                  <c:pt idx="24">
                    <c:v>1025/QĐ-UBND</c:v>
                  </c:pt>
                  <c:pt idx="25">
                    <c:v>1013/QĐ-UBND</c:v>
                  </c:pt>
                  <c:pt idx="26">
                    <c:v>1016/QĐ-UBND</c:v>
                  </c:pt>
                  <c:pt idx="27">
                    <c:v>1014/QĐ-UBND</c:v>
                  </c:pt>
                  <c:pt idx="28">
                    <c:v>1023/QĐ-UBND</c:v>
                  </c:pt>
                  <c:pt idx="29">
                    <c:v>1027/QĐ-UBND</c:v>
                  </c:pt>
                  <c:pt idx="30">
                    <c:v>1026/QĐ-UBND</c:v>
                  </c:pt>
                  <c:pt idx="31">
                    <c:v>1024/QĐ-UBND</c:v>
                  </c:pt>
                  <c:pt idx="32">
                    <c:v>1017/QĐ-UBND</c:v>
                  </c:pt>
                  <c:pt idx="33">
                    <c:v>1018/QĐ-UBND</c:v>
                  </c:pt>
                  <c:pt idx="34">
                    <c:v>1020/QĐ-UBND</c:v>
                  </c:pt>
                  <c:pt idx="35">
                    <c:v>1018/QĐ-UBND</c:v>
                  </c:pt>
                  <c:pt idx="36">
                    <c:v>1012/QĐ-UBND</c:v>
                  </c:pt>
                  <c:pt idx="37">
                    <c:v>1144/QĐ-UBND</c:v>
                  </c:pt>
                  <c:pt idx="38">
                    <c:v>1028/QĐ-UBND</c:v>
                  </c:pt>
                  <c:pt idx="39">
                    <c:v>1022/QĐ-UBND</c:v>
                  </c:pt>
                </c:lvl>
                <c:lvl>
                  <c:pt idx="0">
                    <c:v>Diện tích QH 2017</c:v>
                  </c:pt>
                  <c:pt idx="2">
                    <c:v>0.46 ha</c:v>
                  </c:pt>
                  <c:pt idx="3">
                    <c:v>2.00 ha</c:v>
                  </c:pt>
                  <c:pt idx="4">
                    <c:v>1.32 ha</c:v>
                  </c:pt>
                  <c:pt idx="5">
                    <c:v>1.49 ha</c:v>
                  </c:pt>
                  <c:pt idx="6">
                    <c:v>0.16 ha</c:v>
                  </c:pt>
                  <c:pt idx="7">
                    <c:v>1.20 ha</c:v>
                  </c:pt>
                  <c:pt idx="8">
                    <c:v>1.26 ha</c:v>
                  </c:pt>
                  <c:pt idx="9">
                    <c:v>2.63 ha</c:v>
                  </c:pt>
                  <c:pt idx="10">
                    <c:v>1.23 ha</c:v>
                  </c:pt>
                  <c:pt idx="11">
                    <c:v>0.27 ha</c:v>
                  </c:pt>
                  <c:pt idx="12">
                    <c:v>1.15 ha</c:v>
                  </c:pt>
                  <c:pt idx="13">
                    <c:v>2.65 ha</c:v>
                  </c:pt>
                  <c:pt idx="14">
                    <c:v>2.67 ha</c:v>
                  </c:pt>
                  <c:pt idx="15">
                    <c:v>3.74 ha</c:v>
                  </c:pt>
                  <c:pt idx="16">
                    <c:v>1.64 ha</c:v>
                  </c:pt>
                  <c:pt idx="17">
                    <c:v>3.12 ha</c:v>
                  </c:pt>
                  <c:pt idx="18">
                    <c:v>0.65 ha</c:v>
                  </c:pt>
                  <c:pt idx="19">
                    <c:v>1.43 ha</c:v>
                  </c:pt>
                  <c:pt idx="22">
                    <c:v>31/01/2020</c:v>
                  </c:pt>
                  <c:pt idx="23">
                    <c:v>31/01/2020</c:v>
                  </c:pt>
                  <c:pt idx="24">
                    <c:v>31/01/2020</c:v>
                  </c:pt>
                  <c:pt idx="25">
                    <c:v>31/01/2020</c:v>
                  </c:pt>
                  <c:pt idx="26">
                    <c:v>31/01/2020</c:v>
                  </c:pt>
                  <c:pt idx="27">
                    <c:v>31/01/2020</c:v>
                  </c:pt>
                  <c:pt idx="28">
                    <c:v>31/01/2020</c:v>
                  </c:pt>
                  <c:pt idx="29">
                    <c:v>31/01/2020</c:v>
                  </c:pt>
                  <c:pt idx="30">
                    <c:v>31/01/2020</c:v>
                  </c:pt>
                  <c:pt idx="31">
                    <c:v>31/01/2020</c:v>
                  </c:pt>
                  <c:pt idx="32">
                    <c:v>31/01/2020</c:v>
                  </c:pt>
                  <c:pt idx="33">
                    <c:v>31/01/2020</c:v>
                  </c:pt>
                  <c:pt idx="34">
                    <c:v>31/01/2020</c:v>
                  </c:pt>
                  <c:pt idx="35">
                    <c:v>31/01/2020</c:v>
                  </c:pt>
                  <c:pt idx="36">
                    <c:v>31/01/2020</c:v>
                  </c:pt>
                  <c:pt idx="37">
                    <c:v>31/01/2020</c:v>
                  </c:pt>
                  <c:pt idx="38">
                    <c:v>31/01/2020</c:v>
                  </c:pt>
                  <c:pt idx="39">
                    <c:v>31/01/2020</c:v>
                  </c:pt>
                </c:lvl>
                <c:lvl>
                  <c:pt idx="0">
                    <c:v>Tên dự án</c:v>
                  </c:pt>
                  <c:pt idx="1">
                    <c:v>2</c:v>
                  </c:pt>
                  <c:pt idx="2">
                    <c:v>Hạ tầng kỹ thuật khu dân cư phố Trung Sơn, thị trấn Bút Sơn, huyện Hoằng Hóa (Mặt bằng số 01).</c:v>
                  </c:pt>
                  <c:pt idx="3">
                    <c:v>Hạ tầng kỹ thuật khu dân cư phố Trung Sơn, thị trấn Bút Sơn, huyện Hoằng Hóa (Mặt bằng số 02)</c:v>
                  </c:pt>
                  <c:pt idx="4">
                    <c:v>Hạ tầng kỹ thuật khu dân cư thôn 1 xã Hoằng Thịnh, huyện Hoằng Hóa (Mặt bằng số 03).</c:v>
                  </c:pt>
                  <c:pt idx="5">
                    <c:v>Hạ tầng kỹ thuật khu dân cư thôn 1, thôn 2 xã Hoằng Thịnh, và thôn 4 xã Hoằng Thái, huyện Hoằng Hóa (Mặt bằng số 04).</c:v>
                  </c:pt>
                  <c:pt idx="6">
                    <c:v>Hạ tầng kỹ thuật khu dân cư thôn 6, xã Hoằng Thịnh, huyện Hoằng Hóa (Mặt bằng số 05).</c:v>
                  </c:pt>
                  <c:pt idx="7">
                    <c:v>Hạ tầng kỹ thuật khu dân cư thôn 6, xã Hoằng Thành, huyện Hoằng Hóa (Mặt bằng số 06).</c:v>
                  </c:pt>
                  <c:pt idx="8">
                    <c:v>Hạ tầng kỹ thuật khu dân cư thôn 12, xã Hoằng Thắng, huyện Hoằng Hóa (Mặt bằng số 07).</c:v>
                  </c:pt>
                  <c:pt idx="9">
                    <c:v>Hạ tầng kỹ thuật khu dân cư  thôn Phượng Ngô 2, xã Hoằng Lưu, huyện Hoằng Hóa (Mặt bằng số 08).</c:v>
                  </c:pt>
                  <c:pt idx="10">
                    <c:v>Hạ tầng kỹ thuật khu dân cư  thôn Phượng Ngô 2, xã Hoằng Lưu, huyện Hoằng Hóa (Mặt bằng số 09).</c:v>
                  </c:pt>
                  <c:pt idx="11">
                    <c:v>Hạ tầng kỹ thuật khu dân cư thôn 8 xã Hoằng Thành, huyện Hoằng Hóa (Mặt bằng số 10).</c:v>
                  </c:pt>
                  <c:pt idx="12">
                    <c:v>Hạ tầng kỹ thuật khu dân cư thôn 8 xã Hoằng Thành (Mặt bằng 11).</c:v>
                  </c:pt>
                  <c:pt idx="13">
                    <c:v>Hạ tầng kỹ thuật khu dân cư thôn Tiền Thôn 1 xã Hoằng Tiến (Mặt bằng số 12 và Mặt bằng số 13).</c:v>
                  </c:pt>
                  <c:pt idx="14">
                    <c:v>Hạ tầng kỹ thuật khu dân cư xã Hoằng Đồng (tiếp giáp TDA2), huyện Hoằng Hóa (Mặt bằng số 14).</c:v>
                  </c:pt>
                  <c:pt idx="15">
                    <c:v>Hạ tầng kỹ thuật khu dân cư thôn 4, thôn 5, xã Hoằng Thịnh, huyện Hoằng Hóa (Mặt bằng số 15).</c:v>
                  </c:pt>
                  <c:pt idx="16">
                    <c:v>Hạ tầng kỹ thuật khu dân cư thôn 9, xã Hoằng Thịnh, huyện Hoằng Hóa (Mặt bằng số 16).</c:v>
                  </c:pt>
                  <c:pt idx="17">
                    <c:v>Hạ tầng kỹ thuật khu dân cư thôn 5, thôn 6, thôn 7, xã Hoằng Kim, huyện Hoằng Hóa (Mặt bằng số 17).</c:v>
                  </c:pt>
                  <c:pt idx="18">
                    <c:v>Hạ tầng kỹ thuật khu dân cư thôn Trinh Nga, xã Hoằng Trinh, huyện Hoằng Hóa (Mặt bằng số 18).</c:v>
                  </c:pt>
                  <c:pt idx="19">
                    <c:v>Hạ tầng kỹ thuật khu dân cư thôn Lương Quán, xã Hoằng Lương, huyện Hoằng Hóa (Mặt bằng số 19)</c:v>
                  </c:pt>
                  <c:pt idx="20">
                    <c:v>QĐ duyệt nhiệm vụ KS, TK</c:v>
                  </c:pt>
                  <c:pt idx="22">
                    <c:v>993/QĐ-UBND</c:v>
                  </c:pt>
                  <c:pt idx="23">
                    <c:v>997/QĐ-UBND</c:v>
                  </c:pt>
                  <c:pt idx="24">
                    <c:v>1007/QĐ-UBND</c:v>
                  </c:pt>
                  <c:pt idx="25">
                    <c:v>995/QĐ-UBND</c:v>
                  </c:pt>
                  <c:pt idx="26">
                    <c:v>998/QĐ-UBND</c:v>
                  </c:pt>
                  <c:pt idx="27">
                    <c:v>996/QĐ-UBND</c:v>
                  </c:pt>
                  <c:pt idx="28">
                    <c:v>1005/QĐ-UBND</c:v>
                  </c:pt>
                  <c:pt idx="29">
                    <c:v>1009/QĐ-UBND</c:v>
                  </c:pt>
                  <c:pt idx="30">
                    <c:v>1008/QĐ-UBND</c:v>
                  </c:pt>
                  <c:pt idx="31">
                    <c:v>1006/QĐ-UBND</c:v>
                  </c:pt>
                  <c:pt idx="32">
                    <c:v>999/QĐ-UBND</c:v>
                  </c:pt>
                  <c:pt idx="33">
                    <c:v>1021/QĐ-UBND</c:v>
                  </c:pt>
                  <c:pt idx="34">
                    <c:v>1002/QĐ-UBND</c:v>
                  </c:pt>
                  <c:pt idx="35">
                    <c:v>1000/QĐ-UBND</c:v>
                  </c:pt>
                  <c:pt idx="36">
                    <c:v>994/QĐ-UBND</c:v>
                  </c:pt>
                  <c:pt idx="37">
                    <c:v>1001/QĐ-UBND</c:v>
                  </c:pt>
                  <c:pt idx="38">
                    <c:v>1010/QĐ-UBND</c:v>
                  </c:pt>
                  <c:pt idx="39">
                    <c:v>1004/QĐ-UBND</c:v>
                  </c:pt>
                </c:lvl>
                <c:lvl>
                  <c:pt idx="2">
                    <c:v>Thị trấn</c:v>
                  </c:pt>
                  <c:pt idx="3">
                    <c:v>Thị trấn</c:v>
                  </c:pt>
                  <c:pt idx="4">
                    <c:v>Hoằng Thịnh</c:v>
                  </c:pt>
                  <c:pt idx="5">
                    <c:v>Hoằng Thịnh</c:v>
                  </c:pt>
                  <c:pt idx="6">
                    <c:v>Hoằng Thịnh</c:v>
                  </c:pt>
                  <c:pt idx="7">
                    <c:v>Hoằng Thành</c:v>
                  </c:pt>
                  <c:pt idx="8">
                    <c:v>Hoằng Thắng</c:v>
                  </c:pt>
                  <c:pt idx="9">
                    <c:v>Hoằng Lưu</c:v>
                  </c:pt>
                  <c:pt idx="10">
                    <c:v>Hoằng Lưu</c:v>
                  </c:pt>
                  <c:pt idx="11">
                    <c:v>Hoằng Thành</c:v>
                  </c:pt>
                  <c:pt idx="12">
                    <c:v>Hoằng Thành</c:v>
                  </c:pt>
                  <c:pt idx="13">
                    <c:v>Hoằng Tiến</c:v>
                  </c:pt>
                  <c:pt idx="14">
                    <c:v>Hoằng Đồng</c:v>
                  </c:pt>
                  <c:pt idx="15">
                    <c:v>Hoằng Thịnh</c:v>
                  </c:pt>
                  <c:pt idx="16">
                    <c:v>Hoằng Thịnh</c:v>
                  </c:pt>
                  <c:pt idx="17">
                    <c:v>Hoằng Kim</c:v>
                  </c:pt>
                  <c:pt idx="18">
                    <c:v>Hoằng Trinh</c:v>
                  </c:pt>
                  <c:pt idx="19">
                    <c:v>Hoằng Lương</c:v>
                  </c:pt>
                  <c:pt idx="22">
                    <c:v>05/12/2017</c:v>
                  </c:pt>
                  <c:pt idx="23">
                    <c:v>05/12/2017</c:v>
                  </c:pt>
                  <c:pt idx="24">
                    <c:v>21/01/2020</c:v>
                  </c:pt>
                  <c:pt idx="25">
                    <c:v>21/01/2020</c:v>
                  </c:pt>
                  <c:pt idx="26">
                    <c:v>21/01/2020</c:v>
                  </c:pt>
                  <c:pt idx="27">
                    <c:v>21/01/2020</c:v>
                  </c:pt>
                  <c:pt idx="28">
                    <c:v>21/01/2020</c:v>
                  </c:pt>
                  <c:pt idx="29">
                    <c:v>21/01/2020</c:v>
                  </c:pt>
                  <c:pt idx="30">
                    <c:v>21/01/2020</c:v>
                  </c:pt>
                  <c:pt idx="31">
                    <c:v>21/01/2020</c:v>
                  </c:pt>
                  <c:pt idx="32">
                    <c:v>21/01/2020</c:v>
                  </c:pt>
                  <c:pt idx="33">
                    <c:v>21/01/2020</c:v>
                  </c:pt>
                  <c:pt idx="34">
                    <c:v>21/01/2020</c:v>
                  </c:pt>
                  <c:pt idx="35">
                    <c:v>21/01/2020</c:v>
                  </c:pt>
                  <c:pt idx="36">
                    <c:v>21/01/2020</c:v>
                  </c:pt>
                  <c:pt idx="37">
                    <c:v>21/01/2020</c:v>
                  </c:pt>
                  <c:pt idx="38">
                    <c:v>21/01/2020</c:v>
                  </c:pt>
                  <c:pt idx="39">
                    <c:v>21/01/2020</c:v>
                  </c:pt>
                </c:lvl>
                <c:lvl>
                  <c:pt idx="0">
                    <c:v>TT</c:v>
                  </c:pt>
                  <c:pt idx="1">
                    <c:v>1</c:v>
                  </c:pt>
                  <c:pt idx="2">
                    <c:v>1</c:v>
                  </c:pt>
                  <c:pt idx="3">
                    <c:v>2</c:v>
                  </c:pt>
                  <c:pt idx="4">
                    <c:v>3</c:v>
                  </c:pt>
                  <c:pt idx="5">
                    <c:v>4</c:v>
                  </c:pt>
                  <c:pt idx="6">
                    <c:v>5</c:v>
                  </c:pt>
                  <c:pt idx="7">
                    <c:v>6</c:v>
                  </c:pt>
                  <c:pt idx="8">
                    <c:v>7</c:v>
                  </c:pt>
                  <c:pt idx="9">
                    <c:v>8</c:v>
                  </c:pt>
                  <c:pt idx="10">
                    <c:v>9</c:v>
                  </c:pt>
                  <c:pt idx="11">
                    <c:v>10</c:v>
                  </c:pt>
                  <c:pt idx="12">
                    <c:v>11</c:v>
                  </c:pt>
                  <c:pt idx="13">
                    <c:v>12+13</c:v>
                  </c:pt>
                  <c:pt idx="14">
                    <c:v>14</c:v>
                  </c:pt>
                  <c:pt idx="15">
                    <c:v>15</c:v>
                  </c:pt>
                  <c:pt idx="16">
                    <c:v>16</c:v>
                  </c:pt>
                  <c:pt idx="17">
                    <c:v>17</c:v>
                  </c:pt>
                  <c:pt idx="18">
                    <c:v>18</c:v>
                  </c:pt>
                  <c:pt idx="19">
                    <c:v>19</c:v>
                  </c:pt>
                  <c:pt idx="20">
                    <c:v>QĐ duyệt QH</c:v>
                  </c:pt>
                  <c:pt idx="22">
                    <c:v>6687/QĐ-UBND</c:v>
                  </c:pt>
                  <c:pt idx="23">
                    <c:v>6687/QĐ-UBND</c:v>
                  </c:pt>
                  <c:pt idx="24">
                    <c:v>966/QĐ-UBND</c:v>
                  </c:pt>
                  <c:pt idx="25">
                    <c:v>967/QĐ-UBND</c:v>
                  </c:pt>
                  <c:pt idx="26">
                    <c:v>968/QĐ-UBND</c:v>
                  </c:pt>
                  <c:pt idx="27">
                    <c:v>969/QĐ-UBND</c:v>
                  </c:pt>
                  <c:pt idx="28">
                    <c:v>970/QĐ-UBND</c:v>
                  </c:pt>
                  <c:pt idx="29">
                    <c:v>971/QĐ-UBND</c:v>
                  </c:pt>
                  <c:pt idx="30">
                    <c:v>972/QĐ-UBND</c:v>
                  </c:pt>
                  <c:pt idx="31">
                    <c:v>973/QĐ-UBND</c:v>
                  </c:pt>
                  <c:pt idx="32">
                    <c:v>974/QĐ-UBND</c:v>
                  </c:pt>
                  <c:pt idx="33">
                    <c:v>1003/QĐ-UBND</c:v>
                  </c:pt>
                  <c:pt idx="34">
                    <c:v>975/QĐ-UBND</c:v>
                  </c:pt>
                  <c:pt idx="35">
                    <c:v>976/QĐ-UBND</c:v>
                  </c:pt>
                  <c:pt idx="36">
                    <c:v>977/QĐ-UBND</c:v>
                  </c:pt>
                  <c:pt idx="37">
                    <c:v>978/QĐ-UBND</c:v>
                  </c:pt>
                  <c:pt idx="38">
                    <c:v>979/QĐ-UBND</c:v>
                  </c:pt>
                  <c:pt idx="39">
                    <c:v>980/QĐ-UBND</c:v>
                  </c:pt>
                </c:lvl>
              </c:multiLvlStrCache>
            </c:multiLvlStrRef>
          </c:cat>
          <c:val>
            <c:numRef>
              <c:f>'DM 19 công trình'!$V$3:$V$22</c:f>
              <c:numCache>
                <c:formatCode>General</c:formatCode>
                <c:ptCount val="20"/>
              </c:numCache>
            </c:numRef>
          </c:val>
          <c:extLst>
            <c:ext xmlns:c16="http://schemas.microsoft.com/office/drawing/2014/chart" uri="{C3380CC4-5D6E-409C-BE32-E72D297353CC}">
              <c16:uniqueId val="{00000005-1695-AC49-BBAD-27336D1C8996}"/>
            </c:ext>
          </c:extLst>
        </c:ser>
        <c:dLbls>
          <c:showLegendKey val="0"/>
          <c:showVal val="0"/>
          <c:showCatName val="0"/>
          <c:showSerName val="0"/>
          <c:showPercent val="0"/>
          <c:showBubbleSize val="0"/>
        </c:dLbls>
        <c:gapWidth val="150"/>
        <c:axId val="250268288"/>
        <c:axId val="255452672"/>
      </c:barChart>
      <c:catAx>
        <c:axId val="250268288"/>
        <c:scaling>
          <c:orientation val="minMax"/>
        </c:scaling>
        <c:delete val="0"/>
        <c:axPos val="b"/>
        <c:numFmt formatCode="General"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5452672"/>
        <c:crosses val="autoZero"/>
        <c:auto val="1"/>
        <c:lblAlgn val="ctr"/>
        <c:lblOffset val="100"/>
        <c:noMultiLvlLbl val="0"/>
      </c:catAx>
      <c:valAx>
        <c:axId val="255452672"/>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50268288"/>
        <c:crosses val="autoZero"/>
        <c:crossBetween val="between"/>
      </c:valAx>
    </c:plotArea>
    <c:legend>
      <c:legendPos val="r"/>
      <c:layout>
        <c:manualLayout>
          <c:xMode val="edge"/>
          <c:yMode val="edge"/>
          <c:x val="0.92815249266862165"/>
          <c:y val="0.3786610878661088"/>
          <c:w val="6.3049853372434017E-2"/>
          <c:h val="0.21338912133891214"/>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129"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1400" cy="6070600"/>
    <xdr:graphicFrame macro="">
      <xdr:nvGraphicFramePr>
        <xdr:cNvPr id="2" name="Chart 1">
          <a:extLst>
            <a:ext uri="{FF2B5EF4-FFF2-40B4-BE49-F238E27FC236}">
              <a16:creationId xmlns:a16="http://schemas.microsoft.com/office/drawing/2014/main" id="{AD8FA411-F191-0242-B043-24277FEB6F7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4140625" defaultRowHeight="14.4" x14ac:dyDescent="0.3"/>
  <cols>
    <col min="1" max="256" width="8.88671875" customWidth="1"/>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20"/>
  <sheetViews>
    <sheetView view="pageBreakPreview" zoomScale="85" zoomScaleSheetLayoutView="85" workbookViewId="0">
      <selection activeCell="D3" sqref="D3:D5"/>
    </sheetView>
  </sheetViews>
  <sheetFormatPr defaultColWidth="9.109375" defaultRowHeight="15.6" x14ac:dyDescent="0.3"/>
  <cols>
    <col min="1" max="1" width="4.88671875" style="326" customWidth="1"/>
    <col min="2" max="2" width="26.6640625" style="363" customWidth="1"/>
    <col min="3" max="3" width="34.44140625" style="322" customWidth="1"/>
    <col min="4" max="4" width="41.109375" style="322" customWidth="1"/>
    <col min="5" max="5" width="14.33203125" style="326" customWidth="1"/>
    <col min="6" max="6" width="14.44140625" style="326" customWidth="1"/>
    <col min="7" max="7" width="16" style="326" customWidth="1"/>
    <col min="8" max="8" width="17.88671875" style="326" customWidth="1"/>
    <col min="9" max="9" width="16.6640625" style="326" customWidth="1"/>
    <col min="10" max="10" width="13.44140625" style="326" customWidth="1"/>
    <col min="11" max="11" width="13.44140625" style="322" customWidth="1"/>
    <col min="12" max="16384" width="9.109375" style="322"/>
  </cols>
  <sheetData>
    <row r="1" spans="1:12" ht="26.25" customHeight="1" x14ac:dyDescent="0.3">
      <c r="A1" s="454" t="s">
        <v>714</v>
      </c>
      <c r="B1" s="454"/>
      <c r="C1" s="454"/>
      <c r="D1" s="454"/>
      <c r="E1" s="454"/>
      <c r="F1" s="454"/>
      <c r="G1" s="454"/>
      <c r="H1" s="454"/>
      <c r="I1" s="454"/>
      <c r="J1" s="454"/>
      <c r="K1" s="454"/>
    </row>
    <row r="2" spans="1:12" x14ac:dyDescent="0.3">
      <c r="G2" s="455" t="s">
        <v>575</v>
      </c>
      <c r="H2" s="455"/>
      <c r="I2" s="455"/>
      <c r="J2" s="455"/>
      <c r="K2" s="455"/>
    </row>
    <row r="3" spans="1:12" ht="46.8" x14ac:dyDescent="0.3">
      <c r="A3" s="328" t="s">
        <v>0</v>
      </c>
      <c r="B3" s="364" t="s">
        <v>20</v>
      </c>
      <c r="C3" s="328" t="s">
        <v>574</v>
      </c>
      <c r="D3" s="328" t="s">
        <v>544</v>
      </c>
      <c r="E3" s="328" t="s">
        <v>217</v>
      </c>
      <c r="F3" s="328" t="s">
        <v>590</v>
      </c>
      <c r="G3" s="351" t="s">
        <v>645</v>
      </c>
      <c r="H3" s="328" t="s">
        <v>219</v>
      </c>
      <c r="I3" s="321" t="s">
        <v>579</v>
      </c>
      <c r="J3" s="328" t="s">
        <v>584</v>
      </c>
      <c r="K3" s="328" t="s">
        <v>221</v>
      </c>
    </row>
    <row r="4" spans="1:12" ht="226.5" customHeight="1" x14ac:dyDescent="0.3">
      <c r="A4" s="383">
        <v>1</v>
      </c>
      <c r="B4" s="361" t="s">
        <v>709</v>
      </c>
      <c r="C4" s="361" t="s">
        <v>722</v>
      </c>
      <c r="D4" s="361" t="s">
        <v>721</v>
      </c>
      <c r="E4" s="356" t="s">
        <v>224</v>
      </c>
      <c r="F4" s="362">
        <v>306669</v>
      </c>
      <c r="G4" s="362">
        <v>306669</v>
      </c>
      <c r="H4" s="356" t="s">
        <v>723</v>
      </c>
      <c r="I4" s="380" t="s">
        <v>710</v>
      </c>
      <c r="J4" s="383" t="s">
        <v>705</v>
      </c>
      <c r="K4" s="356" t="s">
        <v>724</v>
      </c>
    </row>
    <row r="5" spans="1:12" s="401" customFormat="1" ht="90" x14ac:dyDescent="0.3">
      <c r="A5" s="396">
        <v>2</v>
      </c>
      <c r="B5" s="397" t="s">
        <v>657</v>
      </c>
      <c r="C5" s="397" t="s">
        <v>658</v>
      </c>
      <c r="D5" s="397" t="s">
        <v>712</v>
      </c>
      <c r="E5" s="398" t="s">
        <v>583</v>
      </c>
      <c r="F5" s="399">
        <v>16700</v>
      </c>
      <c r="G5" s="399">
        <f>F5+9000*3*150000/1000000</f>
        <v>20750</v>
      </c>
      <c r="H5" s="398" t="s">
        <v>713</v>
      </c>
      <c r="I5" s="400" t="s">
        <v>659</v>
      </c>
      <c r="J5" s="400" t="s">
        <v>647</v>
      </c>
      <c r="K5" s="398" t="s">
        <v>719</v>
      </c>
      <c r="L5" s="401" t="s">
        <v>755</v>
      </c>
    </row>
    <row r="6" spans="1:12" s="350" customFormat="1" ht="104.4" customHeight="1" x14ac:dyDescent="0.3">
      <c r="A6" s="359">
        <v>3</v>
      </c>
      <c r="B6" s="361" t="s">
        <v>18</v>
      </c>
      <c r="C6" s="361" t="s">
        <v>658</v>
      </c>
      <c r="D6" s="361" t="s">
        <v>712</v>
      </c>
      <c r="E6" s="356" t="s">
        <v>224</v>
      </c>
      <c r="F6" s="362">
        <v>13700</v>
      </c>
      <c r="G6" s="362">
        <f>F6+8000*3*150000/1000000</f>
        <v>17300</v>
      </c>
      <c r="H6" s="356" t="s">
        <v>713</v>
      </c>
      <c r="I6" s="360" t="s">
        <v>711</v>
      </c>
      <c r="J6" s="360" t="s">
        <v>647</v>
      </c>
      <c r="K6" s="356" t="s">
        <v>720</v>
      </c>
    </row>
    <row r="7" spans="1:12" s="350" customFormat="1" ht="104.4" customHeight="1" x14ac:dyDescent="0.3">
      <c r="A7" s="359">
        <v>4</v>
      </c>
      <c r="B7" s="361" t="s">
        <v>727</v>
      </c>
      <c r="C7" s="361" t="s">
        <v>728</v>
      </c>
      <c r="D7" s="361" t="s">
        <v>729</v>
      </c>
      <c r="E7" s="356" t="s">
        <v>583</v>
      </c>
      <c r="F7" s="388">
        <v>6000</v>
      </c>
      <c r="G7" s="388">
        <v>7200</v>
      </c>
      <c r="H7" s="356" t="s">
        <v>225</v>
      </c>
      <c r="I7" s="356" t="s">
        <v>391</v>
      </c>
      <c r="J7" s="356" t="s">
        <v>730</v>
      </c>
      <c r="K7" s="356"/>
    </row>
    <row r="8" spans="1:12" s="350" customFormat="1" ht="216" x14ac:dyDescent="0.3">
      <c r="A8" s="359">
        <v>5</v>
      </c>
      <c r="B8" s="361" t="s">
        <v>746</v>
      </c>
      <c r="C8" s="361" t="s">
        <v>747</v>
      </c>
      <c r="D8" s="389" t="s">
        <v>748</v>
      </c>
      <c r="E8" s="356" t="s">
        <v>583</v>
      </c>
      <c r="F8" s="388">
        <v>10000</v>
      </c>
      <c r="G8" s="388">
        <v>17900</v>
      </c>
      <c r="H8" s="356" t="s">
        <v>225</v>
      </c>
      <c r="I8" s="356" t="s">
        <v>749</v>
      </c>
      <c r="J8" s="356" t="s">
        <v>471</v>
      </c>
      <c r="K8" s="356"/>
    </row>
    <row r="9" spans="1:12" s="354" customFormat="1" ht="27" customHeight="1" x14ac:dyDescent="0.3">
      <c r="A9" s="456" t="s">
        <v>19</v>
      </c>
      <c r="B9" s="456"/>
      <c r="C9" s="456"/>
      <c r="D9" s="456"/>
      <c r="E9" s="456"/>
      <c r="F9" s="357">
        <f>+SUM(F4:F8)</f>
        <v>353069</v>
      </c>
      <c r="G9" s="357">
        <f>+SUM(G4:G8)</f>
        <v>369819</v>
      </c>
      <c r="H9" s="353"/>
      <c r="I9" s="353"/>
      <c r="J9" s="353"/>
      <c r="K9" s="352"/>
    </row>
    <row r="14" spans="1:12" x14ac:dyDescent="0.3">
      <c r="G14" s="358"/>
    </row>
    <row r="15" spans="1:12" x14ac:dyDescent="0.3">
      <c r="G15" s="349"/>
      <c r="I15" s="349"/>
    </row>
    <row r="16" spans="1:12" x14ac:dyDescent="0.3">
      <c r="H16" s="330"/>
    </row>
    <row r="18" spans="7:8" x14ac:dyDescent="0.3">
      <c r="H18" s="349"/>
    </row>
    <row r="20" spans="7:8" x14ac:dyDescent="0.3">
      <c r="G20" s="349"/>
    </row>
  </sheetData>
  <mergeCells count="3">
    <mergeCell ref="A1:K1"/>
    <mergeCell ref="G2:K2"/>
    <mergeCell ref="A9:E9"/>
  </mergeCells>
  <printOptions horizontalCentered="1"/>
  <pageMargins left="0.47244094488188998" right="0.31496062992126" top="0.26" bottom="0" header="0.2" footer="0"/>
  <pageSetup paperSize="9" scale="61"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L9"/>
  <sheetViews>
    <sheetView view="pageBreakPreview" zoomScaleSheetLayoutView="100" workbookViewId="0">
      <selection activeCell="D40" sqref="A1:XFD1048576"/>
    </sheetView>
  </sheetViews>
  <sheetFormatPr defaultColWidth="9.109375" defaultRowHeight="15.6" x14ac:dyDescent="0.3"/>
  <cols>
    <col min="1" max="1" width="5.109375" style="20" customWidth="1"/>
    <col min="2" max="2" width="40.109375" style="2" customWidth="1"/>
    <col min="3" max="3" width="13.33203125" style="338" customWidth="1"/>
    <col min="4" max="4" width="43" style="20" customWidth="1"/>
    <col min="5" max="5" width="16.33203125" style="20" customWidth="1"/>
    <col min="6" max="7" width="20.88671875" style="20" customWidth="1"/>
    <col min="8" max="8" width="15" style="20" customWidth="1"/>
    <col min="9" max="9" width="13.109375" style="20" customWidth="1"/>
    <col min="10" max="10" width="12.88671875" style="20" customWidth="1"/>
    <col min="11" max="11" width="13.6640625" style="2" hidden="1" customWidth="1"/>
    <col min="12" max="12" width="14.33203125" style="2" customWidth="1"/>
    <col min="13" max="15" width="9.109375" style="2"/>
    <col min="16" max="16" width="14.88671875" style="2" customWidth="1"/>
    <col min="17" max="16384" width="9.109375" style="2"/>
  </cols>
  <sheetData>
    <row r="1" spans="1:12" s="80" customFormat="1" ht="34.35" customHeight="1" x14ac:dyDescent="0.3">
      <c r="A1" s="439" t="s">
        <v>771</v>
      </c>
      <c r="B1" s="439"/>
      <c r="C1" s="439"/>
      <c r="D1" s="439"/>
      <c r="E1" s="439"/>
      <c r="F1" s="439"/>
      <c r="G1" s="439"/>
      <c r="H1" s="439"/>
      <c r="I1" s="439"/>
      <c r="J1" s="439"/>
    </row>
    <row r="2" spans="1:12" s="350" customFormat="1" ht="13.35" customHeight="1" x14ac:dyDescent="0.3">
      <c r="A2" s="440"/>
      <c r="B2" s="440"/>
      <c r="C2" s="440"/>
      <c r="D2" s="440"/>
      <c r="E2" s="440"/>
      <c r="F2" s="440"/>
      <c r="G2" s="440"/>
      <c r="H2" s="440"/>
      <c r="I2" s="440"/>
      <c r="J2" s="440"/>
    </row>
    <row r="3" spans="1:12" ht="24" customHeight="1" x14ac:dyDescent="0.3">
      <c r="A3" s="447" t="s">
        <v>0</v>
      </c>
      <c r="B3" s="447" t="s">
        <v>20</v>
      </c>
      <c r="C3" s="447" t="s">
        <v>756</v>
      </c>
      <c r="D3" s="447" t="s">
        <v>216</v>
      </c>
      <c r="E3" s="447" t="s">
        <v>757</v>
      </c>
      <c r="F3" s="447" t="s">
        <v>219</v>
      </c>
      <c r="G3" s="447" t="s">
        <v>87</v>
      </c>
      <c r="H3" s="447" t="s">
        <v>220</v>
      </c>
      <c r="I3" s="447" t="s">
        <v>584</v>
      </c>
      <c r="J3" s="447" t="s">
        <v>221</v>
      </c>
    </row>
    <row r="4" spans="1:12" ht="24" customHeight="1" x14ac:dyDescent="0.3">
      <c r="A4" s="448"/>
      <c r="B4" s="448"/>
      <c r="C4" s="448"/>
      <c r="D4" s="448"/>
      <c r="E4" s="448"/>
      <c r="F4" s="448"/>
      <c r="G4" s="448"/>
      <c r="H4" s="448"/>
      <c r="I4" s="448"/>
      <c r="J4" s="448"/>
    </row>
    <row r="5" spans="1:12" ht="44.1" customHeight="1" x14ac:dyDescent="0.3">
      <c r="A5" s="449"/>
      <c r="B5" s="449"/>
      <c r="C5" s="449"/>
      <c r="D5" s="449"/>
      <c r="E5" s="449"/>
      <c r="F5" s="449"/>
      <c r="G5" s="449"/>
      <c r="H5" s="449"/>
      <c r="I5" s="449"/>
      <c r="J5" s="449"/>
    </row>
    <row r="6" spans="1:12" s="320" customFormat="1" ht="18" customHeight="1" x14ac:dyDescent="0.3">
      <c r="A6" s="10">
        <v>1</v>
      </c>
      <c r="B6" s="10">
        <v>2</v>
      </c>
      <c r="C6" s="10">
        <v>3</v>
      </c>
      <c r="D6" s="10">
        <v>4</v>
      </c>
      <c r="E6" s="10">
        <v>5</v>
      </c>
      <c r="F6" s="10">
        <v>6</v>
      </c>
      <c r="G6" s="10">
        <v>7</v>
      </c>
      <c r="H6" s="10">
        <v>8</v>
      </c>
      <c r="I6" s="10">
        <v>9</v>
      </c>
      <c r="J6" s="10">
        <v>10</v>
      </c>
    </row>
    <row r="7" spans="1:12" ht="228" customHeight="1" x14ac:dyDescent="0.3">
      <c r="A7" s="4">
        <v>1</v>
      </c>
      <c r="B7" s="7" t="s">
        <v>770</v>
      </c>
      <c r="C7" s="408">
        <v>19600</v>
      </c>
      <c r="D7" s="382" t="s">
        <v>772</v>
      </c>
      <c r="E7" s="12" t="s">
        <v>583</v>
      </c>
      <c r="F7" s="12" t="s">
        <v>225</v>
      </c>
      <c r="G7" s="12" t="s">
        <v>768</v>
      </c>
      <c r="H7" s="12" t="s">
        <v>767</v>
      </c>
      <c r="I7" s="12" t="s">
        <v>763</v>
      </c>
      <c r="J7" s="12"/>
      <c r="K7" s="409"/>
      <c r="L7" s="394"/>
    </row>
    <row r="8" spans="1:12" ht="156" x14ac:dyDescent="0.3">
      <c r="A8" s="4">
        <v>2</v>
      </c>
      <c r="B8" s="7" t="s">
        <v>764</v>
      </c>
      <c r="C8" s="408">
        <v>45000</v>
      </c>
      <c r="D8" s="382" t="s">
        <v>769</v>
      </c>
      <c r="E8" s="12" t="s">
        <v>583</v>
      </c>
      <c r="F8" s="12" t="s">
        <v>766</v>
      </c>
      <c r="G8" s="12" t="s">
        <v>773</v>
      </c>
      <c r="H8" s="12" t="s">
        <v>765</v>
      </c>
      <c r="I8" s="12" t="s">
        <v>763</v>
      </c>
      <c r="J8" s="12"/>
      <c r="K8" s="409"/>
      <c r="L8" s="394"/>
    </row>
    <row r="9" spans="1:12" s="71" customFormat="1" ht="16.5" customHeight="1" x14ac:dyDescent="0.3">
      <c r="A9" s="457" t="s">
        <v>19</v>
      </c>
      <c r="B9" s="457"/>
      <c r="C9" s="6">
        <f>+C8+C7</f>
        <v>64600</v>
      </c>
      <c r="D9" s="9"/>
      <c r="E9" s="9"/>
      <c r="F9" s="9"/>
      <c r="G9" s="9"/>
      <c r="H9" s="9"/>
      <c r="I9" s="9"/>
      <c r="J9" s="9"/>
    </row>
  </sheetData>
  <mergeCells count="13">
    <mergeCell ref="A9:B9"/>
    <mergeCell ref="J3:J5"/>
    <mergeCell ref="A1:J1"/>
    <mergeCell ref="A2:J2"/>
    <mergeCell ref="A3:A5"/>
    <mergeCell ref="B3:B5"/>
    <mergeCell ref="D3:D5"/>
    <mergeCell ref="E3:E5"/>
    <mergeCell ref="F3:F5"/>
    <mergeCell ref="H3:H5"/>
    <mergeCell ref="C3:C5"/>
    <mergeCell ref="G3:G5"/>
    <mergeCell ref="I3:I5"/>
  </mergeCells>
  <pageMargins left="0.35433070866141703" right="0.27559055118110198" top="0.41" bottom="0.32" header="0.196850393700787" footer="0.25"/>
  <pageSetup paperSize="9" scale="7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zoomScale="85" zoomScaleNormal="85" workbookViewId="0">
      <selection activeCell="E31" sqref="A1:XFD1048576"/>
    </sheetView>
  </sheetViews>
  <sheetFormatPr defaultColWidth="9.109375" defaultRowHeight="15.6" x14ac:dyDescent="0.3"/>
  <cols>
    <col min="1" max="1" width="5.109375" style="20" customWidth="1"/>
    <col min="2" max="2" width="42.109375" style="2" customWidth="1"/>
    <col min="3" max="3" width="23.109375" style="20" customWidth="1"/>
    <col min="4" max="4" width="14.6640625" style="2" customWidth="1"/>
    <col min="5" max="5" width="13.33203125" style="324" customWidth="1"/>
    <col min="6" max="6" width="14.33203125" style="20" customWidth="1"/>
    <col min="7" max="8" width="24.88671875" style="20" customWidth="1"/>
    <col min="9" max="9" width="16.33203125" style="20" customWidth="1"/>
    <col min="10" max="10" width="12.88671875" style="20" customWidth="1"/>
    <col min="11" max="11" width="9.109375" style="2" customWidth="1"/>
    <col min="12" max="12" width="9.109375" style="2"/>
    <col min="13" max="13" width="16.109375" style="2" customWidth="1"/>
    <col min="14" max="16384" width="9.109375" style="2"/>
  </cols>
  <sheetData>
    <row r="1" spans="1:11" s="80" customFormat="1" ht="27.75" customHeight="1" x14ac:dyDescent="0.3">
      <c r="A1" s="461" t="s">
        <v>643</v>
      </c>
      <c r="B1" s="461"/>
      <c r="C1" s="461"/>
      <c r="D1" s="461"/>
      <c r="E1" s="461"/>
      <c r="F1" s="461"/>
      <c r="G1" s="461"/>
      <c r="H1" s="461"/>
      <c r="I1" s="461"/>
      <c r="J1" s="461"/>
    </row>
    <row r="2" spans="1:11" ht="16.8" hidden="1" x14ac:dyDescent="0.3">
      <c r="A2" s="462" t="s">
        <v>215</v>
      </c>
      <c r="B2" s="462"/>
      <c r="C2" s="462"/>
      <c r="D2" s="462"/>
      <c r="E2" s="462"/>
      <c r="F2" s="462"/>
      <c r="G2" s="462"/>
      <c r="H2" s="462"/>
      <c r="I2" s="462"/>
      <c r="J2" s="462"/>
    </row>
    <row r="3" spans="1:11" ht="10.5" customHeight="1" x14ac:dyDescent="0.3">
      <c r="E3" s="463"/>
      <c r="F3" s="463"/>
      <c r="G3" s="463"/>
      <c r="H3" s="463"/>
      <c r="I3" s="463"/>
      <c r="J3" s="463"/>
    </row>
    <row r="4" spans="1:11" ht="72" customHeight="1" x14ac:dyDescent="0.3">
      <c r="A4" s="319" t="s">
        <v>0</v>
      </c>
      <c r="B4" s="319" t="s">
        <v>20</v>
      </c>
      <c r="C4" s="319" t="s">
        <v>216</v>
      </c>
      <c r="D4" s="319" t="s">
        <v>217</v>
      </c>
      <c r="E4" s="319" t="s">
        <v>576</v>
      </c>
      <c r="F4" s="319" t="s">
        <v>219</v>
      </c>
      <c r="G4" s="319" t="s">
        <v>87</v>
      </c>
      <c r="H4" s="319" t="s">
        <v>220</v>
      </c>
      <c r="I4" s="319" t="s">
        <v>584</v>
      </c>
      <c r="J4" s="319" t="s">
        <v>221</v>
      </c>
      <c r="K4" s="2" t="s">
        <v>623</v>
      </c>
    </row>
    <row r="5" spans="1:11" s="320" customFormat="1" x14ac:dyDescent="0.3">
      <c r="A5" s="10">
        <v>1</v>
      </c>
      <c r="B5" s="10">
        <v>2</v>
      </c>
      <c r="C5" s="10">
        <v>3</v>
      </c>
      <c r="D5" s="10">
        <v>4</v>
      </c>
      <c r="E5" s="10">
        <v>5</v>
      </c>
      <c r="F5" s="10">
        <v>6</v>
      </c>
      <c r="G5" s="10">
        <v>7</v>
      </c>
      <c r="H5" s="10">
        <v>8</v>
      </c>
      <c r="I5" s="10">
        <v>9</v>
      </c>
      <c r="J5" s="10">
        <v>10</v>
      </c>
    </row>
    <row r="6" spans="1:11" s="71" customFormat="1" ht="20.25" customHeight="1" x14ac:dyDescent="0.3">
      <c r="A6" s="9" t="s">
        <v>222</v>
      </c>
      <c r="B6" s="464" t="s">
        <v>580</v>
      </c>
      <c r="C6" s="464"/>
      <c r="D6" s="464"/>
      <c r="E6" s="339">
        <f>+SUM(E7:E9)</f>
        <v>27800</v>
      </c>
      <c r="F6" s="336"/>
      <c r="G6" s="336"/>
      <c r="H6" s="337"/>
      <c r="I6" s="327"/>
      <c r="J6" s="343"/>
    </row>
    <row r="7" spans="1:11" ht="124.8" x14ac:dyDescent="0.3">
      <c r="A7" s="4">
        <v>1</v>
      </c>
      <c r="B7" s="325" t="s">
        <v>585</v>
      </c>
      <c r="C7" s="325" t="s">
        <v>598</v>
      </c>
      <c r="D7" s="325" t="s">
        <v>583</v>
      </c>
      <c r="E7" s="333">
        <v>5000</v>
      </c>
      <c r="F7" s="325" t="s">
        <v>577</v>
      </c>
      <c r="G7" s="325" t="s">
        <v>597</v>
      </c>
      <c r="H7" s="325" t="s">
        <v>588</v>
      </c>
      <c r="I7" s="325" t="s">
        <v>593</v>
      </c>
      <c r="J7" s="325"/>
      <c r="K7" s="2" t="s">
        <v>162</v>
      </c>
    </row>
    <row r="8" spans="1:11" ht="258" customHeight="1" x14ac:dyDescent="0.3">
      <c r="A8" s="4">
        <v>4</v>
      </c>
      <c r="B8" s="7" t="s">
        <v>594</v>
      </c>
      <c r="C8" s="325" t="s">
        <v>596</v>
      </c>
      <c r="D8" s="325" t="s">
        <v>583</v>
      </c>
      <c r="E8" s="333">
        <v>8000</v>
      </c>
      <c r="F8" s="325" t="s">
        <v>577</v>
      </c>
      <c r="G8" s="325" t="s">
        <v>600</v>
      </c>
      <c r="H8" s="12" t="s">
        <v>595</v>
      </c>
      <c r="I8" s="325" t="s">
        <v>593</v>
      </c>
      <c r="J8" s="4"/>
      <c r="K8" s="2" t="s">
        <v>162</v>
      </c>
    </row>
    <row r="9" spans="1:11" ht="356.25" customHeight="1" x14ac:dyDescent="0.3">
      <c r="A9" s="4">
        <v>5</v>
      </c>
      <c r="B9" s="7" t="s">
        <v>620</v>
      </c>
      <c r="C9" s="325" t="s">
        <v>627</v>
      </c>
      <c r="D9" s="325" t="s">
        <v>583</v>
      </c>
      <c r="E9" s="333">
        <f>ROUND(22*500*2000/10000+1500+22110/2,-2)</f>
        <v>14800</v>
      </c>
      <c r="F9" s="325" t="s">
        <v>577</v>
      </c>
      <c r="G9" s="325" t="s">
        <v>621</v>
      </c>
      <c r="H9" s="12" t="s">
        <v>622</v>
      </c>
      <c r="I9" s="325" t="s">
        <v>471</v>
      </c>
      <c r="J9" s="4"/>
      <c r="K9" s="2" t="s">
        <v>163</v>
      </c>
    </row>
    <row r="10" spans="1:11" s="342" customFormat="1" ht="31.5" customHeight="1" x14ac:dyDescent="0.3">
      <c r="A10" s="9" t="s">
        <v>254</v>
      </c>
      <c r="B10" s="465" t="s">
        <v>633</v>
      </c>
      <c r="C10" s="466"/>
      <c r="D10" s="467"/>
      <c r="E10" s="341">
        <f>+SUM(E11:E12)</f>
        <v>83000</v>
      </c>
      <c r="F10" s="344"/>
      <c r="G10" s="344"/>
      <c r="H10" s="327"/>
      <c r="I10" s="327"/>
      <c r="J10" s="11"/>
    </row>
    <row r="11" spans="1:11" s="338" customFormat="1" ht="279.75" customHeight="1" x14ac:dyDescent="0.3">
      <c r="A11" s="345">
        <v>1</v>
      </c>
      <c r="B11" s="346" t="s">
        <v>641</v>
      </c>
      <c r="C11" s="346" t="s">
        <v>634</v>
      </c>
      <c r="D11" s="346" t="s">
        <v>583</v>
      </c>
      <c r="E11" s="347">
        <f>ROUND(9640*4.5+4.5*2000,-3)</f>
        <v>52000</v>
      </c>
      <c r="F11" s="346" t="s">
        <v>578</v>
      </c>
      <c r="G11" s="346" t="s">
        <v>635</v>
      </c>
      <c r="H11" s="346" t="s">
        <v>636</v>
      </c>
      <c r="I11" s="346" t="s">
        <v>471</v>
      </c>
      <c r="J11" s="348"/>
      <c r="K11" s="338" t="s">
        <v>163</v>
      </c>
    </row>
    <row r="12" spans="1:11" s="338" customFormat="1" ht="256.5" customHeight="1" x14ac:dyDescent="0.3">
      <c r="A12" s="4">
        <v>2</v>
      </c>
      <c r="B12" s="325" t="s">
        <v>642</v>
      </c>
      <c r="C12" s="325" t="s">
        <v>637</v>
      </c>
      <c r="D12" s="325" t="s">
        <v>583</v>
      </c>
      <c r="E12" s="333">
        <f>ROUND(9640*2.7+2.7*2000,-3)</f>
        <v>31000</v>
      </c>
      <c r="F12" s="325" t="s">
        <v>578</v>
      </c>
      <c r="G12" s="325" t="s">
        <v>638</v>
      </c>
      <c r="H12" s="325" t="s">
        <v>582</v>
      </c>
      <c r="I12" s="325" t="s">
        <v>471</v>
      </c>
      <c r="J12" s="12"/>
      <c r="K12" s="338" t="s">
        <v>170</v>
      </c>
    </row>
    <row r="13" spans="1:11" s="71" customFormat="1" x14ac:dyDescent="0.3">
      <c r="A13" s="458" t="s">
        <v>617</v>
      </c>
      <c r="B13" s="459"/>
      <c r="C13" s="459"/>
      <c r="D13" s="460"/>
      <c r="E13" s="340">
        <f>+E10+E6</f>
        <v>110800</v>
      </c>
      <c r="F13" s="9"/>
      <c r="G13" s="9"/>
      <c r="H13" s="9"/>
      <c r="I13" s="9"/>
      <c r="J13" s="9"/>
    </row>
    <row r="14" spans="1:11" hidden="1" x14ac:dyDescent="0.3">
      <c r="A14" s="4"/>
      <c r="B14" s="68"/>
      <c r="C14" s="4"/>
      <c r="D14" s="68"/>
      <c r="E14" s="323"/>
      <c r="F14" s="4"/>
      <c r="G14" s="4"/>
      <c r="H14" s="4"/>
      <c r="I14" s="4"/>
      <c r="J14" s="4"/>
    </row>
  </sheetData>
  <mergeCells count="6">
    <mergeCell ref="A13:D13"/>
    <mergeCell ref="A1:J1"/>
    <mergeCell ref="A2:J2"/>
    <mergeCell ref="E3:J3"/>
    <mergeCell ref="B6:D6"/>
    <mergeCell ref="B10:D10"/>
  </mergeCells>
  <printOptions horizontalCentered="1"/>
  <pageMargins left="0.17" right="0.17" top="0.26" bottom="0.26" header="0.17" footer="0.17"/>
  <pageSetup paperSize="9" scale="7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selection sqref="A1:IV65536"/>
    </sheetView>
  </sheetViews>
  <sheetFormatPr defaultColWidth="9.109375" defaultRowHeight="15.6" x14ac:dyDescent="0.3"/>
  <cols>
    <col min="1" max="1" width="5.109375" style="20" customWidth="1"/>
    <col min="2" max="2" width="42.109375" style="2" customWidth="1"/>
    <col min="3" max="3" width="23.109375" style="20" customWidth="1"/>
    <col min="4" max="4" width="14.6640625" style="2" customWidth="1"/>
    <col min="5" max="5" width="13.33203125" style="324" customWidth="1"/>
    <col min="6" max="6" width="14.33203125" style="20" customWidth="1"/>
    <col min="7" max="8" width="24.88671875" style="20" customWidth="1"/>
    <col min="9" max="9" width="16.33203125" style="20" customWidth="1"/>
    <col min="10" max="10" width="12.88671875" style="20" customWidth="1"/>
    <col min="11" max="11" width="9.109375" style="2" customWidth="1"/>
    <col min="12" max="12" width="9.109375" style="2"/>
    <col min="13" max="13" width="16.109375" style="2" customWidth="1"/>
    <col min="14" max="16384" width="9.109375" style="2"/>
  </cols>
  <sheetData>
    <row r="1" spans="1:11" s="80" customFormat="1" ht="27.75" customHeight="1" x14ac:dyDescent="0.3">
      <c r="A1" s="461" t="s">
        <v>599</v>
      </c>
      <c r="B1" s="461"/>
      <c r="C1" s="461"/>
      <c r="D1" s="461"/>
      <c r="E1" s="461"/>
      <c r="F1" s="461"/>
      <c r="G1" s="461"/>
      <c r="H1" s="461"/>
      <c r="I1" s="461"/>
      <c r="J1" s="461"/>
    </row>
    <row r="2" spans="1:11" ht="16.8" hidden="1" x14ac:dyDescent="0.3">
      <c r="A2" s="462" t="s">
        <v>215</v>
      </c>
      <c r="B2" s="462"/>
      <c r="C2" s="462"/>
      <c r="D2" s="462"/>
      <c r="E2" s="462"/>
      <c r="F2" s="462"/>
      <c r="G2" s="462"/>
      <c r="H2" s="462"/>
      <c r="I2" s="462"/>
      <c r="J2" s="462"/>
    </row>
    <row r="3" spans="1:11" ht="10.5" customHeight="1" x14ac:dyDescent="0.3">
      <c r="E3" s="463"/>
      <c r="F3" s="463"/>
      <c r="G3" s="463"/>
      <c r="H3" s="463"/>
      <c r="I3" s="463"/>
      <c r="J3" s="463"/>
    </row>
    <row r="4" spans="1:11" ht="72" customHeight="1" x14ac:dyDescent="0.3">
      <c r="A4" s="319" t="s">
        <v>0</v>
      </c>
      <c r="B4" s="319" t="s">
        <v>20</v>
      </c>
      <c r="C4" s="319" t="s">
        <v>216</v>
      </c>
      <c r="D4" s="319" t="s">
        <v>217</v>
      </c>
      <c r="E4" s="319" t="s">
        <v>576</v>
      </c>
      <c r="F4" s="319" t="s">
        <v>219</v>
      </c>
      <c r="G4" s="319" t="s">
        <v>87</v>
      </c>
      <c r="H4" s="319" t="s">
        <v>220</v>
      </c>
      <c r="I4" s="319" t="s">
        <v>584</v>
      </c>
      <c r="J4" s="319" t="s">
        <v>221</v>
      </c>
      <c r="K4" s="2" t="s">
        <v>623</v>
      </c>
    </row>
    <row r="5" spans="1:11" s="320" customFormat="1" x14ac:dyDescent="0.3">
      <c r="A5" s="10">
        <v>1</v>
      </c>
      <c r="B5" s="10">
        <v>2</v>
      </c>
      <c r="C5" s="10">
        <v>3</v>
      </c>
      <c r="D5" s="10">
        <v>4</v>
      </c>
      <c r="E5" s="10">
        <v>5</v>
      </c>
      <c r="F5" s="10">
        <v>6</v>
      </c>
      <c r="G5" s="10">
        <v>7</v>
      </c>
      <c r="H5" s="10">
        <v>8</v>
      </c>
      <c r="I5" s="10">
        <v>9</v>
      </c>
      <c r="J5" s="10">
        <v>10</v>
      </c>
    </row>
    <row r="6" spans="1:11" s="71" customFormat="1" x14ac:dyDescent="0.3">
      <c r="A6" s="332" t="s">
        <v>222</v>
      </c>
      <c r="B6" s="464" t="s">
        <v>581</v>
      </c>
      <c r="C6" s="464"/>
      <c r="D6" s="464"/>
      <c r="E6" s="339">
        <f>+SUM(E7:E12)</f>
        <v>131000</v>
      </c>
      <c r="F6" s="334"/>
      <c r="G6" s="334"/>
      <c r="H6" s="335"/>
      <c r="I6" s="329"/>
      <c r="J6" s="331"/>
    </row>
    <row r="7" spans="1:11" s="338" customFormat="1" ht="173.25" customHeight="1" x14ac:dyDescent="0.3">
      <c r="A7" s="4">
        <v>1</v>
      </c>
      <c r="B7" s="325" t="s">
        <v>601</v>
      </c>
      <c r="C7" s="325" t="s">
        <v>604</v>
      </c>
      <c r="D7" s="325" t="s">
        <v>583</v>
      </c>
      <c r="E7" s="333">
        <f>ROUND(9640*1.97875+1.97875*2000,-3)</f>
        <v>23000</v>
      </c>
      <c r="F7" s="325" t="s">
        <v>578</v>
      </c>
      <c r="G7" s="325" t="s">
        <v>602</v>
      </c>
      <c r="H7" s="325" t="s">
        <v>603</v>
      </c>
      <c r="I7" s="325" t="s">
        <v>471</v>
      </c>
      <c r="J7" s="12"/>
      <c r="K7" s="338" t="s">
        <v>163</v>
      </c>
    </row>
    <row r="8" spans="1:11" s="338" customFormat="1" ht="173.25" customHeight="1" x14ac:dyDescent="0.3">
      <c r="A8" s="4">
        <v>2</v>
      </c>
      <c r="B8" s="325" t="s">
        <v>606</v>
      </c>
      <c r="C8" s="325" t="s">
        <v>605</v>
      </c>
      <c r="D8" s="325" t="s">
        <v>583</v>
      </c>
      <c r="E8" s="333">
        <f>ROUND(9640*2.6374+2.6374*2000,-3)</f>
        <v>31000</v>
      </c>
      <c r="F8" s="325" t="s">
        <v>578</v>
      </c>
      <c r="G8" s="325" t="s">
        <v>602</v>
      </c>
      <c r="H8" s="325" t="s">
        <v>607</v>
      </c>
      <c r="I8" s="325" t="s">
        <v>471</v>
      </c>
      <c r="J8" s="12"/>
      <c r="K8" s="338" t="s">
        <v>170</v>
      </c>
    </row>
    <row r="9" spans="1:11" s="338" customFormat="1" ht="173.25" customHeight="1" x14ac:dyDescent="0.3">
      <c r="A9" s="4">
        <v>3</v>
      </c>
      <c r="B9" s="325" t="s">
        <v>609</v>
      </c>
      <c r="C9" s="325" t="s">
        <v>610</v>
      </c>
      <c r="D9" s="325" t="s">
        <v>583</v>
      </c>
      <c r="E9" s="333">
        <f>ROUND(9640*0.38906+0.38906*2000,-3)</f>
        <v>5000</v>
      </c>
      <c r="F9" s="325" t="s">
        <v>578</v>
      </c>
      <c r="G9" s="325" t="s">
        <v>602</v>
      </c>
      <c r="H9" s="325" t="s">
        <v>611</v>
      </c>
      <c r="I9" s="325" t="s">
        <v>471</v>
      </c>
      <c r="J9" s="12"/>
      <c r="K9" s="338" t="s">
        <v>162</v>
      </c>
    </row>
    <row r="10" spans="1:11" s="338" customFormat="1" ht="173.25" customHeight="1" x14ac:dyDescent="0.3">
      <c r="A10" s="4">
        <v>4</v>
      </c>
      <c r="B10" s="325" t="s">
        <v>614</v>
      </c>
      <c r="C10" s="325" t="s">
        <v>615</v>
      </c>
      <c r="D10" s="325" t="s">
        <v>583</v>
      </c>
      <c r="E10" s="333">
        <f>ROUND(9640*1.35+1.35*2000,-3)</f>
        <v>16000</v>
      </c>
      <c r="F10" s="325" t="s">
        <v>578</v>
      </c>
      <c r="G10" s="325" t="s">
        <v>602</v>
      </c>
      <c r="H10" s="325" t="s">
        <v>616</v>
      </c>
      <c r="I10" s="325" t="s">
        <v>471</v>
      </c>
      <c r="J10" s="12"/>
      <c r="K10" s="338" t="s">
        <v>161</v>
      </c>
    </row>
    <row r="11" spans="1:11" s="338" customFormat="1" ht="173.25" customHeight="1" x14ac:dyDescent="0.3">
      <c r="A11" s="4">
        <v>5</v>
      </c>
      <c r="B11" s="325" t="s">
        <v>618</v>
      </c>
      <c r="C11" s="325" t="s">
        <v>624</v>
      </c>
      <c r="D11" s="325" t="s">
        <v>583</v>
      </c>
      <c r="E11" s="333">
        <f>ROUND(9640*1.990472+1.990472*2000,-3)</f>
        <v>23000</v>
      </c>
      <c r="F11" s="325" t="s">
        <v>578</v>
      </c>
      <c r="G11" s="325" t="s">
        <v>602</v>
      </c>
      <c r="H11" s="325" t="s">
        <v>619</v>
      </c>
      <c r="I11" s="325" t="s">
        <v>471</v>
      </c>
      <c r="J11" s="12"/>
      <c r="K11" s="338" t="s">
        <v>168</v>
      </c>
    </row>
    <row r="12" spans="1:11" ht="173.25" customHeight="1" x14ac:dyDescent="0.3">
      <c r="A12" s="4">
        <v>6</v>
      </c>
      <c r="B12" s="325" t="s">
        <v>640</v>
      </c>
      <c r="C12" s="325" t="s">
        <v>639</v>
      </c>
      <c r="D12" s="325" t="s">
        <v>583</v>
      </c>
      <c r="E12" s="333">
        <f>ROUND(9640*2.8+2.8*2000,-3)</f>
        <v>33000</v>
      </c>
      <c r="F12" s="325" t="s">
        <v>578</v>
      </c>
      <c r="G12" s="325" t="s">
        <v>602</v>
      </c>
      <c r="H12" s="325" t="s">
        <v>591</v>
      </c>
      <c r="I12" s="325" t="s">
        <v>471</v>
      </c>
      <c r="J12" s="12"/>
      <c r="K12" s="2" t="s">
        <v>164</v>
      </c>
    </row>
    <row r="13" spans="1:11" s="342" customFormat="1" ht="31.5" customHeight="1" x14ac:dyDescent="0.3">
      <c r="A13" s="9" t="s">
        <v>254</v>
      </c>
      <c r="B13" s="465" t="s">
        <v>633</v>
      </c>
      <c r="C13" s="466"/>
      <c r="D13" s="467"/>
      <c r="E13" s="341">
        <f>+SUM(E14:E15)</f>
        <v>83000</v>
      </c>
      <c r="F13" s="344"/>
      <c r="G13" s="344"/>
      <c r="H13" s="327"/>
      <c r="I13" s="327"/>
      <c r="J13" s="11"/>
    </row>
    <row r="14" spans="1:11" s="338" customFormat="1" ht="279.75" customHeight="1" x14ac:dyDescent="0.3">
      <c r="A14" s="4">
        <v>1</v>
      </c>
      <c r="B14" s="325" t="s">
        <v>641</v>
      </c>
      <c r="C14" s="325" t="s">
        <v>634</v>
      </c>
      <c r="D14" s="325" t="s">
        <v>583</v>
      </c>
      <c r="E14" s="333">
        <f>ROUND(9640*4.5+4.5*2000,-3)</f>
        <v>52000</v>
      </c>
      <c r="F14" s="325" t="s">
        <v>578</v>
      </c>
      <c r="G14" s="325" t="s">
        <v>635</v>
      </c>
      <c r="H14" s="325" t="s">
        <v>636</v>
      </c>
      <c r="I14" s="325" t="s">
        <v>471</v>
      </c>
      <c r="J14" s="12"/>
      <c r="K14" s="338" t="s">
        <v>163</v>
      </c>
    </row>
    <row r="15" spans="1:11" s="338" customFormat="1" ht="256.5" customHeight="1" x14ac:dyDescent="0.3">
      <c r="A15" s="4">
        <v>2</v>
      </c>
      <c r="B15" s="325" t="s">
        <v>642</v>
      </c>
      <c r="C15" s="325" t="s">
        <v>637</v>
      </c>
      <c r="D15" s="325" t="s">
        <v>583</v>
      </c>
      <c r="E15" s="333">
        <f>ROUND(9640*2.7+2.7*2000,-3)</f>
        <v>31000</v>
      </c>
      <c r="F15" s="325" t="s">
        <v>578</v>
      </c>
      <c r="G15" s="325" t="s">
        <v>638</v>
      </c>
      <c r="H15" s="325" t="s">
        <v>582</v>
      </c>
      <c r="I15" s="325" t="s">
        <v>471</v>
      </c>
      <c r="J15" s="12"/>
      <c r="K15" s="338" t="s">
        <v>170</v>
      </c>
    </row>
    <row r="16" spans="1:11" s="71" customFormat="1" ht="20.25" customHeight="1" x14ac:dyDescent="0.3">
      <c r="A16" s="9" t="s">
        <v>307</v>
      </c>
      <c r="B16" s="464" t="s">
        <v>580</v>
      </c>
      <c r="C16" s="464"/>
      <c r="D16" s="464"/>
      <c r="E16" s="339">
        <f>+SUM(E17:E23)</f>
        <v>47300</v>
      </c>
      <c r="F16" s="336"/>
      <c r="G16" s="336"/>
      <c r="H16" s="337"/>
      <c r="I16" s="327"/>
      <c r="J16" s="343"/>
    </row>
    <row r="17" spans="1:11" ht="124.8" x14ac:dyDescent="0.3">
      <c r="A17" s="4">
        <v>1</v>
      </c>
      <c r="B17" s="325" t="s">
        <v>585</v>
      </c>
      <c r="C17" s="325" t="s">
        <v>598</v>
      </c>
      <c r="D17" s="325" t="s">
        <v>583</v>
      </c>
      <c r="E17" s="333">
        <v>5000</v>
      </c>
      <c r="F17" s="325" t="s">
        <v>577</v>
      </c>
      <c r="G17" s="325" t="s">
        <v>597</v>
      </c>
      <c r="H17" s="325" t="s">
        <v>588</v>
      </c>
      <c r="I17" s="325" t="s">
        <v>593</v>
      </c>
      <c r="J17" s="325"/>
      <c r="K17" s="2" t="s">
        <v>162</v>
      </c>
    </row>
    <row r="18" spans="1:11" ht="168" customHeight="1" x14ac:dyDescent="0.3">
      <c r="A18" s="4">
        <v>2</v>
      </c>
      <c r="B18" s="325" t="s">
        <v>586</v>
      </c>
      <c r="C18" s="325" t="s">
        <v>612</v>
      </c>
      <c r="D18" s="325" t="s">
        <v>583</v>
      </c>
      <c r="E18" s="333">
        <v>3000</v>
      </c>
      <c r="F18" s="325" t="s">
        <v>577</v>
      </c>
      <c r="G18" s="325" t="s">
        <v>613</v>
      </c>
      <c r="H18" s="325" t="s">
        <v>589</v>
      </c>
      <c r="I18" s="325" t="s">
        <v>593</v>
      </c>
      <c r="J18" s="325"/>
      <c r="K18" s="2" t="s">
        <v>168</v>
      </c>
    </row>
    <row r="19" spans="1:11" ht="78" x14ac:dyDescent="0.3">
      <c r="A19" s="4">
        <v>3</v>
      </c>
      <c r="B19" s="325" t="s">
        <v>587</v>
      </c>
      <c r="C19" s="325" t="s">
        <v>608</v>
      </c>
      <c r="D19" s="325" t="s">
        <v>583</v>
      </c>
      <c r="E19" s="333">
        <v>1000</v>
      </c>
      <c r="F19" s="325" t="s">
        <v>577</v>
      </c>
      <c r="G19" s="325" t="s">
        <v>592</v>
      </c>
      <c r="H19" s="325" t="s">
        <v>582</v>
      </c>
      <c r="I19" s="325" t="s">
        <v>593</v>
      </c>
      <c r="J19" s="325"/>
      <c r="K19" s="2" t="s">
        <v>161</v>
      </c>
    </row>
    <row r="20" spans="1:11" ht="258" customHeight="1" x14ac:dyDescent="0.3">
      <c r="A20" s="4">
        <v>4</v>
      </c>
      <c r="B20" s="7" t="s">
        <v>594</v>
      </c>
      <c r="C20" s="325" t="s">
        <v>596</v>
      </c>
      <c r="D20" s="325" t="s">
        <v>583</v>
      </c>
      <c r="E20" s="333">
        <v>8000</v>
      </c>
      <c r="F20" s="325" t="s">
        <v>577</v>
      </c>
      <c r="G20" s="325" t="s">
        <v>600</v>
      </c>
      <c r="H20" s="12" t="s">
        <v>595</v>
      </c>
      <c r="I20" s="325" t="s">
        <v>593</v>
      </c>
      <c r="J20" s="4"/>
      <c r="K20" s="2" t="s">
        <v>162</v>
      </c>
    </row>
    <row r="21" spans="1:11" ht="356.25" customHeight="1" x14ac:dyDescent="0.3">
      <c r="A21" s="4">
        <v>5</v>
      </c>
      <c r="B21" s="7" t="s">
        <v>620</v>
      </c>
      <c r="C21" s="325" t="s">
        <v>627</v>
      </c>
      <c r="D21" s="325" t="s">
        <v>583</v>
      </c>
      <c r="E21" s="333">
        <f>ROUND(22*500*2000/10000+1500+22110/2,-2)</f>
        <v>14800</v>
      </c>
      <c r="F21" s="325" t="s">
        <v>577</v>
      </c>
      <c r="G21" s="325" t="s">
        <v>621</v>
      </c>
      <c r="H21" s="12" t="s">
        <v>622</v>
      </c>
      <c r="I21" s="325" t="s">
        <v>471</v>
      </c>
      <c r="J21" s="4"/>
      <c r="K21" s="2" t="s">
        <v>163</v>
      </c>
    </row>
    <row r="22" spans="1:11" ht="171.6" x14ac:dyDescent="0.3">
      <c r="A22" s="4">
        <v>6</v>
      </c>
      <c r="B22" s="7" t="s">
        <v>625</v>
      </c>
      <c r="C22" s="325" t="s">
        <v>630</v>
      </c>
      <c r="D22" s="325" t="s">
        <v>583</v>
      </c>
      <c r="E22" s="333">
        <v>3500</v>
      </c>
      <c r="F22" s="325" t="s">
        <v>577</v>
      </c>
      <c r="G22" s="325" t="s">
        <v>629</v>
      </c>
      <c r="H22" s="12" t="s">
        <v>628</v>
      </c>
      <c r="I22" s="325" t="s">
        <v>471</v>
      </c>
      <c r="J22" s="4"/>
      <c r="K22" s="2" t="s">
        <v>161</v>
      </c>
    </row>
    <row r="23" spans="1:11" ht="109.5" customHeight="1" x14ac:dyDescent="0.3">
      <c r="A23" s="4">
        <v>7</v>
      </c>
      <c r="B23" s="7" t="s">
        <v>626</v>
      </c>
      <c r="C23" s="325" t="s">
        <v>632</v>
      </c>
      <c r="D23" s="325" t="s">
        <v>583</v>
      </c>
      <c r="E23" s="333">
        <v>12000</v>
      </c>
      <c r="F23" s="325" t="s">
        <v>577</v>
      </c>
      <c r="G23" s="325" t="s">
        <v>631</v>
      </c>
      <c r="H23" s="325" t="s">
        <v>582</v>
      </c>
      <c r="I23" s="325" t="s">
        <v>471</v>
      </c>
      <c r="J23" s="4"/>
      <c r="K23" s="2" t="s">
        <v>161</v>
      </c>
    </row>
    <row r="24" spans="1:11" s="71" customFormat="1" x14ac:dyDescent="0.3">
      <c r="A24" s="458" t="s">
        <v>617</v>
      </c>
      <c r="B24" s="459"/>
      <c r="C24" s="459"/>
      <c r="D24" s="460"/>
      <c r="E24" s="340">
        <f>+E16+E6+E13</f>
        <v>261300</v>
      </c>
      <c r="F24" s="9"/>
      <c r="G24" s="9"/>
      <c r="H24" s="9"/>
      <c r="I24" s="9"/>
      <c r="J24" s="9"/>
    </row>
    <row r="25" spans="1:11" x14ac:dyDescent="0.3">
      <c r="A25" s="4"/>
      <c r="B25" s="68"/>
      <c r="C25" s="4"/>
      <c r="D25" s="68"/>
      <c r="E25" s="323"/>
      <c r="F25" s="4"/>
      <c r="G25" s="4"/>
      <c r="H25" s="4"/>
      <c r="I25" s="4"/>
      <c r="J25" s="4"/>
    </row>
  </sheetData>
  <mergeCells count="7">
    <mergeCell ref="A24:D24"/>
    <mergeCell ref="A1:J1"/>
    <mergeCell ref="A2:J2"/>
    <mergeCell ref="E3:J3"/>
    <mergeCell ref="B6:D6"/>
    <mergeCell ref="B13:D13"/>
    <mergeCell ref="B16:D1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9"/>
  <sheetViews>
    <sheetView tabSelected="1" zoomScale="70" zoomScaleNormal="70" workbookViewId="0">
      <selection activeCell="F10" sqref="F10"/>
    </sheetView>
  </sheetViews>
  <sheetFormatPr defaultColWidth="9.109375" defaultRowHeight="15.6" x14ac:dyDescent="0.3"/>
  <cols>
    <col min="1" max="1" width="5.109375" style="419" customWidth="1"/>
    <col min="2" max="2" width="44.5546875" style="29" customWidth="1"/>
    <col min="3" max="3" width="13.33203125" style="29" customWidth="1"/>
    <col min="4" max="4" width="38.33203125" style="419" customWidth="1"/>
    <col min="5" max="5" width="42.33203125" style="419" customWidth="1"/>
    <col min="6" max="6" width="40.77734375" style="419" customWidth="1"/>
    <col min="7" max="7" width="16.33203125" style="419" customWidth="1"/>
    <col min="8" max="8" width="17.6640625" style="419" customWidth="1"/>
    <col min="9" max="9" width="15" style="419" customWidth="1"/>
    <col min="10" max="10" width="13.109375" style="419" customWidth="1"/>
    <col min="11" max="11" width="13.77734375" style="419" customWidth="1"/>
    <col min="12" max="12" width="5.109375" style="29" customWidth="1"/>
    <col min="13" max="16384" width="9.109375" style="29"/>
  </cols>
  <sheetData>
    <row r="1" spans="1:12" s="283" customFormat="1" ht="44.4" customHeight="1" x14ac:dyDescent="0.3">
      <c r="A1" s="470" t="s">
        <v>789</v>
      </c>
      <c r="B1" s="470"/>
      <c r="C1" s="470"/>
      <c r="D1" s="470"/>
      <c r="E1" s="470"/>
      <c r="F1" s="470"/>
      <c r="G1" s="470"/>
      <c r="H1" s="470"/>
      <c r="I1" s="470"/>
      <c r="J1" s="470"/>
      <c r="K1" s="470"/>
    </row>
    <row r="2" spans="1:12" s="283" customFormat="1" ht="22.8" hidden="1" x14ac:dyDescent="0.3">
      <c r="A2" s="471" t="s">
        <v>791</v>
      </c>
      <c r="B2" s="471"/>
      <c r="C2" s="471"/>
      <c r="D2" s="471"/>
      <c r="E2" s="471"/>
      <c r="F2" s="471"/>
      <c r="G2" s="471"/>
      <c r="H2" s="471"/>
      <c r="I2" s="471"/>
      <c r="J2" s="471"/>
      <c r="K2" s="471"/>
    </row>
    <row r="3" spans="1:12" s="283" customFormat="1" ht="22.8" x14ac:dyDescent="0.3">
      <c r="A3" s="471" t="s">
        <v>792</v>
      </c>
      <c r="B3" s="471"/>
      <c r="C3" s="471"/>
      <c r="D3" s="471"/>
      <c r="E3" s="471"/>
      <c r="F3" s="471"/>
      <c r="G3" s="471"/>
      <c r="H3" s="471"/>
      <c r="I3" s="471"/>
      <c r="J3" s="471"/>
      <c r="K3" s="471"/>
    </row>
    <row r="4" spans="1:12" s="414" customFormat="1" ht="18" x14ac:dyDescent="0.3">
      <c r="A4" s="413"/>
      <c r="B4" s="413"/>
      <c r="C4" s="413"/>
      <c r="D4" s="413"/>
      <c r="E4" s="413"/>
      <c r="F4" s="413"/>
      <c r="G4" s="413"/>
      <c r="H4" s="413"/>
      <c r="I4" s="413"/>
      <c r="J4" s="472" t="s">
        <v>758</v>
      </c>
      <c r="K4" s="472"/>
    </row>
    <row r="5" spans="1:12" s="123" customFormat="1" ht="24" customHeight="1" x14ac:dyDescent="0.3">
      <c r="A5" s="468" t="s">
        <v>0</v>
      </c>
      <c r="B5" s="468" t="s">
        <v>20</v>
      </c>
      <c r="C5" s="468" t="s">
        <v>784</v>
      </c>
      <c r="D5" s="468" t="s">
        <v>216</v>
      </c>
      <c r="E5" s="468" t="s">
        <v>782</v>
      </c>
      <c r="F5" s="468" t="s">
        <v>87</v>
      </c>
      <c r="G5" s="468" t="s">
        <v>217</v>
      </c>
      <c r="H5" s="468" t="s">
        <v>219</v>
      </c>
      <c r="I5" s="468" t="s">
        <v>220</v>
      </c>
      <c r="J5" s="468" t="s">
        <v>584</v>
      </c>
      <c r="K5" s="468" t="s">
        <v>221</v>
      </c>
    </row>
    <row r="6" spans="1:12" s="123" customFormat="1" ht="24" customHeight="1" x14ac:dyDescent="0.3">
      <c r="A6" s="468"/>
      <c r="B6" s="468"/>
      <c r="C6" s="468"/>
      <c r="D6" s="468"/>
      <c r="E6" s="468"/>
      <c r="F6" s="468"/>
      <c r="G6" s="468"/>
      <c r="H6" s="468"/>
      <c r="I6" s="468"/>
      <c r="J6" s="468"/>
      <c r="K6" s="468"/>
    </row>
    <row r="7" spans="1:12" s="123" customFormat="1" ht="32.4" customHeight="1" x14ac:dyDescent="0.3">
      <c r="A7" s="468"/>
      <c r="B7" s="468"/>
      <c r="C7" s="468"/>
      <c r="D7" s="468"/>
      <c r="E7" s="468"/>
      <c r="F7" s="468"/>
      <c r="G7" s="468"/>
      <c r="H7" s="468"/>
      <c r="I7" s="468"/>
      <c r="J7" s="468"/>
      <c r="K7" s="468"/>
    </row>
    <row r="8" spans="1:12" s="108" customFormat="1" ht="25.8" customHeight="1" x14ac:dyDescent="0.3">
      <c r="A8" s="107">
        <v>1</v>
      </c>
      <c r="B8" s="107">
        <v>2</v>
      </c>
      <c r="C8" s="107">
        <v>3</v>
      </c>
      <c r="D8" s="107">
        <v>4</v>
      </c>
      <c r="E8" s="107">
        <v>5</v>
      </c>
      <c r="F8" s="107">
        <v>6</v>
      </c>
      <c r="G8" s="107">
        <v>7</v>
      </c>
      <c r="H8" s="107">
        <v>8</v>
      </c>
      <c r="I8" s="107">
        <v>9</v>
      </c>
      <c r="J8" s="107">
        <v>10</v>
      </c>
      <c r="K8" s="107">
        <v>11</v>
      </c>
    </row>
    <row r="9" spans="1:12" ht="24" customHeight="1" x14ac:dyDescent="0.3">
      <c r="A9" s="106" t="s">
        <v>254</v>
      </c>
      <c r="B9" s="420" t="s">
        <v>790</v>
      </c>
      <c r="C9" s="296"/>
      <c r="D9" s="415"/>
      <c r="E9" s="415"/>
      <c r="F9" s="416"/>
      <c r="G9" s="288"/>
      <c r="H9" s="288"/>
      <c r="I9" s="288"/>
      <c r="J9" s="288"/>
      <c r="K9" s="288"/>
      <c r="L9" s="417"/>
    </row>
    <row r="10" spans="1:12" ht="171.6" x14ac:dyDescent="0.3">
      <c r="A10" s="287">
        <v>1</v>
      </c>
      <c r="B10" s="280" t="s">
        <v>785</v>
      </c>
      <c r="C10" s="296">
        <v>900</v>
      </c>
      <c r="D10" s="415" t="s">
        <v>787</v>
      </c>
      <c r="E10" s="415" t="s">
        <v>788</v>
      </c>
      <c r="F10" s="416" t="s">
        <v>786</v>
      </c>
      <c r="G10" s="288" t="s">
        <v>779</v>
      </c>
      <c r="H10" s="288" t="s">
        <v>783</v>
      </c>
      <c r="I10" s="288" t="s">
        <v>780</v>
      </c>
      <c r="J10" s="288" t="s">
        <v>781</v>
      </c>
      <c r="K10" s="288"/>
      <c r="L10" s="417"/>
    </row>
    <row r="11" spans="1:12" s="123" customFormat="1" ht="24" customHeight="1" x14ac:dyDescent="0.3">
      <c r="A11" s="473" t="s">
        <v>19</v>
      </c>
      <c r="B11" s="473"/>
      <c r="C11" s="418">
        <f>SUM(C9:C10)</f>
        <v>900</v>
      </c>
      <c r="D11" s="106"/>
      <c r="E11" s="106"/>
      <c r="F11" s="106"/>
      <c r="G11" s="106"/>
      <c r="H11" s="106"/>
      <c r="I11" s="106"/>
      <c r="J11" s="106"/>
      <c r="K11" s="106"/>
    </row>
    <row r="14" spans="1:12" x14ac:dyDescent="0.3">
      <c r="B14" s="469"/>
    </row>
    <row r="15" spans="1:12" x14ac:dyDescent="0.3">
      <c r="B15" s="469"/>
    </row>
    <row r="16" spans="1:12" x14ac:dyDescent="0.3">
      <c r="B16" s="419"/>
    </row>
    <row r="17" spans="2:3" x14ac:dyDescent="0.3">
      <c r="B17" s="419"/>
    </row>
    <row r="18" spans="2:3" x14ac:dyDescent="0.3">
      <c r="C18" s="469"/>
    </row>
    <row r="19" spans="2:3" x14ac:dyDescent="0.3">
      <c r="C19" s="469"/>
    </row>
  </sheetData>
  <mergeCells count="18">
    <mergeCell ref="C18:C19"/>
    <mergeCell ref="A11:B11"/>
    <mergeCell ref="A5:A7"/>
    <mergeCell ref="B5:B7"/>
    <mergeCell ref="C5:C7"/>
    <mergeCell ref="K5:K7"/>
    <mergeCell ref="B14:B15"/>
    <mergeCell ref="A1:K1"/>
    <mergeCell ref="A2:K2"/>
    <mergeCell ref="E5:E7"/>
    <mergeCell ref="D5:D7"/>
    <mergeCell ref="G5:G7"/>
    <mergeCell ref="H5:H7"/>
    <mergeCell ref="F5:F7"/>
    <mergeCell ref="I5:I7"/>
    <mergeCell ref="J4:K4"/>
    <mergeCell ref="J5:J7"/>
    <mergeCell ref="A3:K3"/>
  </mergeCells>
  <printOptions horizontalCentered="1"/>
  <pageMargins left="0.39370078740157483" right="0.15748031496062992" top="0.51181102362204722" bottom="0.51181102362204722" header="0.31496062992125984" footer="0.15748031496062992"/>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35" workbookViewId="0">
      <selection activeCell="D42" sqref="D42"/>
    </sheetView>
  </sheetViews>
  <sheetFormatPr defaultColWidth="9.109375" defaultRowHeight="15.6" x14ac:dyDescent="0.3"/>
  <cols>
    <col min="1" max="1" width="5.109375" style="8" customWidth="1"/>
    <col min="2" max="2" width="24.44140625" style="1" customWidth="1"/>
    <col min="3" max="3" width="16.44140625" style="1" customWidth="1"/>
    <col min="4" max="4" width="16.33203125" style="1" customWidth="1"/>
    <col min="5" max="5" width="12.44140625" style="20" customWidth="1"/>
    <col min="6" max="6" width="17.44140625" style="16" customWidth="1"/>
    <col min="7" max="7" width="69.88671875" style="19" customWidth="1"/>
    <col min="8" max="16384" width="9.109375" style="1"/>
  </cols>
  <sheetData>
    <row r="1" spans="1:7" s="15" customFormat="1" ht="33" customHeight="1" x14ac:dyDescent="0.3">
      <c r="A1" s="424" t="s">
        <v>80</v>
      </c>
      <c r="B1" s="424"/>
      <c r="C1" s="424"/>
      <c r="D1" s="424"/>
      <c r="E1" s="424"/>
      <c r="F1" s="424"/>
      <c r="G1" s="424"/>
    </row>
    <row r="2" spans="1:7" x14ac:dyDescent="0.3">
      <c r="A2" s="423"/>
      <c r="B2" s="423"/>
      <c r="C2" s="423"/>
      <c r="D2" s="423"/>
      <c r="E2" s="423"/>
      <c r="F2" s="423"/>
    </row>
    <row r="3" spans="1:7" ht="1.5" customHeight="1" x14ac:dyDescent="0.3">
      <c r="D3" s="421"/>
      <c r="E3" s="421"/>
      <c r="F3" s="422"/>
    </row>
    <row r="4" spans="1:7" s="2" customFormat="1" ht="62.25" customHeight="1" x14ac:dyDescent="0.3">
      <c r="A4" s="9" t="s">
        <v>0</v>
      </c>
      <c r="B4" s="9" t="s">
        <v>20</v>
      </c>
      <c r="C4" s="9" t="s">
        <v>26</v>
      </c>
      <c r="D4" s="11" t="s">
        <v>27</v>
      </c>
      <c r="E4" s="11" t="s">
        <v>122</v>
      </c>
      <c r="F4" s="11" t="s">
        <v>87</v>
      </c>
      <c r="G4" s="11" t="s">
        <v>88</v>
      </c>
    </row>
    <row r="5" spans="1:7" s="2" customFormat="1" ht="22.5" hidden="1" customHeight="1" x14ac:dyDescent="0.3">
      <c r="A5" s="10">
        <v>1</v>
      </c>
      <c r="B5" s="10">
        <v>2</v>
      </c>
      <c r="C5" s="10">
        <v>3</v>
      </c>
      <c r="D5" s="10">
        <v>4</v>
      </c>
      <c r="E5" s="4"/>
      <c r="F5" s="7"/>
      <c r="G5" s="17"/>
    </row>
    <row r="6" spans="1:7" s="2" customFormat="1" ht="22.5" hidden="1" customHeight="1" x14ac:dyDescent="0.3">
      <c r="A6" s="9"/>
      <c r="B6" s="9" t="s">
        <v>19</v>
      </c>
      <c r="C6" s="3"/>
      <c r="D6" s="6"/>
      <c r="E6" s="4"/>
      <c r="F6" s="7"/>
      <c r="G6" s="17"/>
    </row>
    <row r="7" spans="1:7" s="2" customFormat="1" ht="140.4" x14ac:dyDescent="0.3">
      <c r="A7" s="4">
        <v>1</v>
      </c>
      <c r="B7" s="5" t="s">
        <v>1</v>
      </c>
      <c r="C7" s="12" t="s">
        <v>30</v>
      </c>
      <c r="D7" s="14" t="s">
        <v>29</v>
      </c>
      <c r="E7" s="4" t="s">
        <v>106</v>
      </c>
      <c r="F7" s="12" t="s">
        <v>89</v>
      </c>
      <c r="G7" s="17" t="s">
        <v>121</v>
      </c>
    </row>
    <row r="8" spans="1:7" s="2" customFormat="1" ht="186.75" customHeight="1" x14ac:dyDescent="0.3">
      <c r="A8" s="4">
        <v>2</v>
      </c>
      <c r="B8" s="5" t="s">
        <v>2</v>
      </c>
      <c r="C8" s="12" t="s">
        <v>45</v>
      </c>
      <c r="D8" s="14" t="s">
        <v>28</v>
      </c>
      <c r="E8" s="4" t="s">
        <v>107</v>
      </c>
      <c r="F8" s="12" t="s">
        <v>90</v>
      </c>
      <c r="G8" s="17" t="s">
        <v>91</v>
      </c>
    </row>
    <row r="9" spans="1:7" s="2" customFormat="1" ht="159.75" customHeight="1" x14ac:dyDescent="0.3">
      <c r="A9" s="4">
        <v>3</v>
      </c>
      <c r="B9" s="5" t="s">
        <v>3</v>
      </c>
      <c r="C9" s="12" t="s">
        <v>44</v>
      </c>
      <c r="D9" s="14" t="s">
        <v>31</v>
      </c>
      <c r="E9" s="13">
        <v>11121</v>
      </c>
      <c r="F9" s="12" t="s">
        <v>90</v>
      </c>
      <c r="G9" s="17" t="s">
        <v>92</v>
      </c>
    </row>
    <row r="10" spans="1:7" s="2" customFormat="1" ht="156" x14ac:dyDescent="0.3">
      <c r="A10" s="4">
        <v>4</v>
      </c>
      <c r="B10" s="5" t="s">
        <v>4</v>
      </c>
      <c r="C10" s="12" t="s">
        <v>43</v>
      </c>
      <c r="D10" s="14" t="s">
        <v>32</v>
      </c>
      <c r="E10" s="13">
        <v>13566</v>
      </c>
      <c r="F10" s="12" t="s">
        <v>90</v>
      </c>
      <c r="G10" s="17" t="s">
        <v>123</v>
      </c>
    </row>
    <row r="11" spans="1:7" s="2" customFormat="1" ht="156" x14ac:dyDescent="0.3">
      <c r="A11" s="4">
        <v>5</v>
      </c>
      <c r="B11" s="5" t="s">
        <v>5</v>
      </c>
      <c r="C11" s="12" t="s">
        <v>42</v>
      </c>
      <c r="D11" s="14" t="s">
        <v>33</v>
      </c>
      <c r="E11" s="13">
        <v>1344</v>
      </c>
      <c r="F11" s="12" t="s">
        <v>90</v>
      </c>
      <c r="G11" s="17" t="s">
        <v>93</v>
      </c>
    </row>
    <row r="12" spans="1:7" s="2" customFormat="1" ht="187.2" x14ac:dyDescent="0.3">
      <c r="A12" s="4">
        <v>6</v>
      </c>
      <c r="B12" s="5" t="s">
        <v>6</v>
      </c>
      <c r="C12" s="12" t="s">
        <v>41</v>
      </c>
      <c r="D12" s="14" t="s">
        <v>34</v>
      </c>
      <c r="E12" s="13">
        <v>9516</v>
      </c>
      <c r="F12" s="12" t="s">
        <v>90</v>
      </c>
      <c r="G12" s="18" t="s">
        <v>94</v>
      </c>
    </row>
    <row r="13" spans="1:7" s="2" customFormat="1" ht="280.8" x14ac:dyDescent="0.3">
      <c r="A13" s="4">
        <v>7</v>
      </c>
      <c r="B13" s="5" t="s">
        <v>7</v>
      </c>
      <c r="C13" s="12" t="s">
        <v>40</v>
      </c>
      <c r="D13" s="14" t="s">
        <v>35</v>
      </c>
      <c r="E13" s="13">
        <v>9348</v>
      </c>
      <c r="F13" s="12" t="s">
        <v>90</v>
      </c>
      <c r="G13" s="18" t="s">
        <v>119</v>
      </c>
    </row>
    <row r="14" spans="1:7" s="2" customFormat="1" ht="150.75" customHeight="1" x14ac:dyDescent="0.3">
      <c r="A14" s="4">
        <v>8</v>
      </c>
      <c r="B14" s="5" t="s">
        <v>8</v>
      </c>
      <c r="C14" s="12" t="s">
        <v>39</v>
      </c>
      <c r="D14" s="14" t="s">
        <v>36</v>
      </c>
      <c r="E14" s="13">
        <v>19505</v>
      </c>
      <c r="F14" s="12" t="s">
        <v>90</v>
      </c>
      <c r="G14" s="17" t="s">
        <v>95</v>
      </c>
    </row>
    <row r="15" spans="1:7" s="2" customFormat="1" ht="128.25" customHeight="1" x14ac:dyDescent="0.3">
      <c r="A15" s="4">
        <v>9</v>
      </c>
      <c r="B15" s="5" t="s">
        <v>9</v>
      </c>
      <c r="C15" s="12" t="s">
        <v>38</v>
      </c>
      <c r="D15" s="14" t="s">
        <v>37</v>
      </c>
      <c r="E15" s="13">
        <v>9199</v>
      </c>
      <c r="F15" s="12" t="s">
        <v>90</v>
      </c>
      <c r="G15" s="17" t="s">
        <v>96</v>
      </c>
    </row>
    <row r="16" spans="1:7" s="2" customFormat="1" ht="409.6" x14ac:dyDescent="0.3">
      <c r="A16" s="4">
        <v>10</v>
      </c>
      <c r="B16" s="5" t="s">
        <v>10</v>
      </c>
      <c r="C16" s="12" t="s">
        <v>46</v>
      </c>
      <c r="D16" s="14" t="s">
        <v>47</v>
      </c>
      <c r="E16" s="13">
        <v>1608</v>
      </c>
      <c r="F16" s="12" t="s">
        <v>90</v>
      </c>
      <c r="G16" s="17" t="s">
        <v>97</v>
      </c>
    </row>
    <row r="17" spans="1:7" s="2" customFormat="1" ht="165.75" customHeight="1" x14ac:dyDescent="0.3">
      <c r="A17" s="4">
        <v>11</v>
      </c>
      <c r="B17" s="5" t="s">
        <v>11</v>
      </c>
      <c r="C17" s="12" t="s">
        <v>48</v>
      </c>
      <c r="D17" s="14" t="s">
        <v>49</v>
      </c>
      <c r="E17" s="13">
        <v>9145</v>
      </c>
      <c r="F17" s="12" t="s">
        <v>90</v>
      </c>
      <c r="G17" s="17" t="s">
        <v>98</v>
      </c>
    </row>
    <row r="18" spans="1:7" s="2" customFormat="1" ht="124.8" x14ac:dyDescent="0.3">
      <c r="A18" s="4">
        <v>12</v>
      </c>
      <c r="B18" s="5" t="s">
        <v>12</v>
      </c>
      <c r="C18" s="12" t="s">
        <v>51</v>
      </c>
      <c r="D18" s="14" t="s">
        <v>50</v>
      </c>
      <c r="E18" s="13">
        <v>11158</v>
      </c>
      <c r="F18" s="12" t="s">
        <v>90</v>
      </c>
      <c r="G18" s="17" t="s">
        <v>127</v>
      </c>
    </row>
    <row r="19" spans="1:7" s="2" customFormat="1" ht="140.4" x14ac:dyDescent="0.3">
      <c r="A19" s="4">
        <v>13</v>
      </c>
      <c r="B19" s="5" t="s">
        <v>13</v>
      </c>
      <c r="C19" s="12" t="s">
        <v>52</v>
      </c>
      <c r="D19" s="14" t="s">
        <v>53</v>
      </c>
      <c r="E19" s="13">
        <v>21191</v>
      </c>
      <c r="F19" s="12" t="s">
        <v>90</v>
      </c>
      <c r="G19" s="17" t="s">
        <v>124</v>
      </c>
    </row>
    <row r="20" spans="1:7" s="2" customFormat="1" ht="140.4" x14ac:dyDescent="0.3">
      <c r="A20" s="4">
        <v>14</v>
      </c>
      <c r="B20" s="5" t="s">
        <v>14</v>
      </c>
      <c r="C20" s="12" t="s">
        <v>55</v>
      </c>
      <c r="D20" s="14" t="s">
        <v>54</v>
      </c>
      <c r="E20" s="4" t="s">
        <v>108</v>
      </c>
      <c r="F20" s="12" t="s">
        <v>90</v>
      </c>
      <c r="G20" s="17" t="s">
        <v>125</v>
      </c>
    </row>
    <row r="21" spans="1:7" s="2" customFormat="1" ht="140.4" x14ac:dyDescent="0.3">
      <c r="A21" s="4">
        <v>15</v>
      </c>
      <c r="B21" s="5" t="s">
        <v>15</v>
      </c>
      <c r="C21" s="12" t="s">
        <v>56</v>
      </c>
      <c r="D21" s="14" t="s">
        <v>57</v>
      </c>
      <c r="E21" s="13">
        <v>13817</v>
      </c>
      <c r="F21" s="12" t="s">
        <v>90</v>
      </c>
      <c r="G21" s="17" t="s">
        <v>128</v>
      </c>
    </row>
    <row r="22" spans="1:7" s="2" customFormat="1" ht="176.25" customHeight="1" x14ac:dyDescent="0.3">
      <c r="A22" s="4">
        <v>16</v>
      </c>
      <c r="B22" s="5" t="s">
        <v>16</v>
      </c>
      <c r="C22" s="12" t="s">
        <v>58</v>
      </c>
      <c r="D22" s="14" t="s">
        <v>59</v>
      </c>
      <c r="E22" s="13">
        <v>26749</v>
      </c>
      <c r="F22" s="12" t="s">
        <v>90</v>
      </c>
      <c r="G22" s="17" t="s">
        <v>99</v>
      </c>
    </row>
    <row r="23" spans="1:7" s="2" customFormat="1" ht="140.4" x14ac:dyDescent="0.3">
      <c r="A23" s="4">
        <v>17</v>
      </c>
      <c r="B23" s="5" t="s">
        <v>17</v>
      </c>
      <c r="C23" s="12" t="s">
        <v>60</v>
      </c>
      <c r="D23" s="14" t="s">
        <v>61</v>
      </c>
      <c r="E23" s="21">
        <v>5484</v>
      </c>
      <c r="F23" s="12" t="s">
        <v>90</v>
      </c>
      <c r="G23" s="17" t="s">
        <v>126</v>
      </c>
    </row>
    <row r="24" spans="1:7" s="16" customFormat="1" ht="140.4" x14ac:dyDescent="0.3">
      <c r="A24" s="12">
        <v>18</v>
      </c>
      <c r="B24" s="5" t="s">
        <v>18</v>
      </c>
      <c r="C24" s="12" t="s">
        <v>62</v>
      </c>
      <c r="D24" s="14" t="s">
        <v>63</v>
      </c>
      <c r="E24" s="14">
        <v>12081</v>
      </c>
      <c r="F24" s="12" t="s">
        <v>89</v>
      </c>
      <c r="G24" s="17" t="s">
        <v>129</v>
      </c>
    </row>
    <row r="25" spans="1:7" s="2" customFormat="1" ht="162.75" customHeight="1" x14ac:dyDescent="0.3">
      <c r="A25" s="4">
        <v>19</v>
      </c>
      <c r="B25" s="7" t="s">
        <v>23</v>
      </c>
      <c r="C25" s="12" t="s">
        <v>64</v>
      </c>
      <c r="D25" s="14" t="s">
        <v>65</v>
      </c>
      <c r="E25" s="4" t="s">
        <v>109</v>
      </c>
      <c r="F25" s="17" t="s">
        <v>110</v>
      </c>
      <c r="G25" s="17" t="s">
        <v>112</v>
      </c>
    </row>
    <row r="26" spans="1:7" s="2" customFormat="1" ht="171.6" x14ac:dyDescent="0.3">
      <c r="A26" s="4">
        <v>20</v>
      </c>
      <c r="B26" s="7" t="s">
        <v>24</v>
      </c>
      <c r="C26" s="12" t="s">
        <v>66</v>
      </c>
      <c r="D26" s="14" t="s">
        <v>67</v>
      </c>
      <c r="E26" s="13">
        <v>5055</v>
      </c>
      <c r="F26" s="17" t="s">
        <v>111</v>
      </c>
      <c r="G26" s="17" t="s">
        <v>113</v>
      </c>
    </row>
    <row r="27" spans="1:7" s="2" customFormat="1" ht="202.8" x14ac:dyDescent="0.3">
      <c r="A27" s="4">
        <v>21</v>
      </c>
      <c r="B27" s="7" t="s">
        <v>21</v>
      </c>
      <c r="C27" s="12" t="s">
        <v>69</v>
      </c>
      <c r="D27" s="14" t="s">
        <v>68</v>
      </c>
      <c r="E27" s="4">
        <v>6</v>
      </c>
      <c r="F27" s="17" t="s">
        <v>110</v>
      </c>
      <c r="G27" s="17" t="s">
        <v>102</v>
      </c>
    </row>
    <row r="28" spans="1:7" s="2" customFormat="1" ht="171.6" x14ac:dyDescent="0.3">
      <c r="A28" s="4">
        <v>22</v>
      </c>
      <c r="B28" s="7" t="s">
        <v>22</v>
      </c>
      <c r="C28" s="12" t="s">
        <v>71</v>
      </c>
      <c r="D28" s="14" t="s">
        <v>70</v>
      </c>
      <c r="E28" s="4">
        <v>1</v>
      </c>
      <c r="F28" s="17" t="s">
        <v>100</v>
      </c>
      <c r="G28" s="17" t="s">
        <v>101</v>
      </c>
    </row>
    <row r="29" spans="1:7" s="2" customFormat="1" ht="129" customHeight="1" x14ac:dyDescent="0.3">
      <c r="A29" s="4">
        <v>23</v>
      </c>
      <c r="B29" s="7" t="s">
        <v>25</v>
      </c>
      <c r="C29" s="12" t="s">
        <v>72</v>
      </c>
      <c r="D29" s="14" t="s">
        <v>73</v>
      </c>
      <c r="E29" s="4">
        <v>13</v>
      </c>
      <c r="F29" s="18" t="s">
        <v>116</v>
      </c>
      <c r="G29" s="17" t="s">
        <v>117</v>
      </c>
    </row>
    <row r="30" spans="1:7" s="2" customFormat="1" ht="409.6" x14ac:dyDescent="0.3">
      <c r="A30" s="4">
        <v>24</v>
      </c>
      <c r="B30" s="7" t="s">
        <v>74</v>
      </c>
      <c r="C30" s="12" t="s">
        <v>75</v>
      </c>
      <c r="D30" s="14" t="s">
        <v>76</v>
      </c>
      <c r="E30" s="21">
        <v>591736</v>
      </c>
      <c r="F30" s="17" t="s">
        <v>114</v>
      </c>
      <c r="G30" s="17" t="s">
        <v>115</v>
      </c>
    </row>
    <row r="31" spans="1:7" s="2" customFormat="1" ht="280.8" x14ac:dyDescent="0.3">
      <c r="A31" s="4">
        <v>25</v>
      </c>
      <c r="B31" s="7" t="s">
        <v>77</v>
      </c>
      <c r="C31" s="12" t="s">
        <v>78</v>
      </c>
      <c r="D31" s="14" t="s">
        <v>79</v>
      </c>
      <c r="E31" s="22">
        <v>205496</v>
      </c>
      <c r="F31" s="17" t="s">
        <v>118</v>
      </c>
      <c r="G31" s="17" t="s">
        <v>120</v>
      </c>
    </row>
    <row r="32" spans="1:7" s="2" customFormat="1" ht="124.8" x14ac:dyDescent="0.3">
      <c r="A32" s="4">
        <v>26</v>
      </c>
      <c r="B32" s="7" t="s">
        <v>81</v>
      </c>
      <c r="C32" s="12" t="s">
        <v>82</v>
      </c>
      <c r="D32" s="14" t="s">
        <v>85</v>
      </c>
      <c r="E32" s="13">
        <v>1509</v>
      </c>
      <c r="F32" s="17" t="s">
        <v>104</v>
      </c>
      <c r="G32" s="17" t="s">
        <v>105</v>
      </c>
    </row>
    <row r="33" spans="1:7" s="2" customFormat="1" ht="296.39999999999998" x14ac:dyDescent="0.3">
      <c r="A33" s="4">
        <v>27</v>
      </c>
      <c r="B33" s="7" t="s">
        <v>83</v>
      </c>
      <c r="C33" s="12" t="s">
        <v>84</v>
      </c>
      <c r="D33" s="14" t="s">
        <v>86</v>
      </c>
      <c r="E33" s="13">
        <v>4999</v>
      </c>
      <c r="F33" s="17" t="s">
        <v>130</v>
      </c>
      <c r="G33" s="17" t="s">
        <v>103</v>
      </c>
    </row>
    <row r="34" spans="1:7" ht="343.2" x14ac:dyDescent="0.3">
      <c r="A34" s="12">
        <v>28</v>
      </c>
      <c r="B34" s="7" t="s">
        <v>131</v>
      </c>
      <c r="C34" s="12" t="s">
        <v>143</v>
      </c>
      <c r="D34" s="14" t="s">
        <v>142</v>
      </c>
      <c r="E34" s="14">
        <v>3728</v>
      </c>
      <c r="F34" s="17" t="s">
        <v>132</v>
      </c>
      <c r="G34" s="17" t="s">
        <v>133</v>
      </c>
    </row>
    <row r="35" spans="1:7" ht="265.2" x14ac:dyDescent="0.3">
      <c r="A35" s="4">
        <v>29</v>
      </c>
      <c r="B35" s="7" t="s">
        <v>134</v>
      </c>
      <c r="C35" s="12" t="s">
        <v>145</v>
      </c>
      <c r="D35" s="14" t="s">
        <v>144</v>
      </c>
      <c r="E35" s="14">
        <v>2642</v>
      </c>
      <c r="F35" s="18" t="s">
        <v>135</v>
      </c>
      <c r="G35" s="18" t="s">
        <v>136</v>
      </c>
    </row>
    <row r="36" spans="1:7" ht="202.8" x14ac:dyDescent="0.3">
      <c r="A36" s="12">
        <v>30</v>
      </c>
      <c r="B36" s="7" t="s">
        <v>137</v>
      </c>
      <c r="C36" s="12" t="s">
        <v>140</v>
      </c>
      <c r="D36" s="14" t="s">
        <v>141</v>
      </c>
      <c r="E36" s="13">
        <v>1463</v>
      </c>
      <c r="F36" s="17" t="s">
        <v>138</v>
      </c>
      <c r="G36" s="17" t="s">
        <v>139</v>
      </c>
    </row>
  </sheetData>
  <mergeCells count="3">
    <mergeCell ref="D3:F3"/>
    <mergeCell ref="A2:F2"/>
    <mergeCell ref="A1:G1"/>
  </mergeCells>
  <pageMargins left="0.5" right="0.33" top="0.57999999999999996" bottom="0.39" header="0.3" footer="0.3"/>
  <pageSetup paperSize="9" scale="85" orientation="landscape" verticalDpi="300" r:id="rId1"/>
  <headerFooter>
    <oddFooter>&amp;CTrang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zoomScale="70" zoomScaleNormal="70" workbookViewId="0">
      <selection activeCell="H6" sqref="H6"/>
    </sheetView>
  </sheetViews>
  <sheetFormatPr defaultColWidth="11.44140625" defaultRowHeight="15.6" x14ac:dyDescent="0.3"/>
  <cols>
    <col min="1" max="1" width="6.88671875" style="403" customWidth="1"/>
    <col min="2" max="2" width="35.88671875" style="403" hidden="1" customWidth="1"/>
    <col min="3" max="3" width="26.6640625" style="404" customWidth="1"/>
    <col min="4" max="4" width="32" style="402" customWidth="1"/>
    <col min="5" max="5" width="41.109375" style="402" customWidth="1"/>
    <col min="6" max="6" width="14.33203125" style="403" customWidth="1"/>
    <col min="7" max="7" width="16.6640625" style="403" customWidth="1"/>
    <col min="8" max="8" width="16" style="403" customWidth="1"/>
    <col min="9" max="9" width="23.88671875" style="403" customWidth="1"/>
    <col min="10" max="10" width="18.88671875" style="403" hidden="1" customWidth="1"/>
    <col min="11" max="11" width="12" style="403" hidden="1" customWidth="1"/>
    <col min="12" max="12" width="19" style="402" customWidth="1"/>
    <col min="13" max="13" width="11.44140625" style="402"/>
    <col min="14" max="14" width="20.33203125" style="402" bestFit="1" customWidth="1"/>
    <col min="15" max="256" width="11.44140625" style="402"/>
    <col min="257" max="257" width="6.88671875" style="402" customWidth="1"/>
    <col min="258" max="258" width="35.88671875" style="402" customWidth="1"/>
    <col min="259" max="259" width="26.6640625" style="402" customWidth="1"/>
    <col min="260" max="260" width="32" style="402" customWidth="1"/>
    <col min="261" max="261" width="41.109375" style="402" customWidth="1"/>
    <col min="262" max="262" width="14.33203125" style="402" customWidth="1"/>
    <col min="263" max="263" width="16.6640625" style="402" customWidth="1"/>
    <col min="264" max="264" width="16" style="402" customWidth="1"/>
    <col min="265" max="265" width="17.33203125" style="402" customWidth="1"/>
    <col min="266" max="267" width="0" style="402" hidden="1" customWidth="1"/>
    <col min="268" max="268" width="12.6640625" style="402" customWidth="1"/>
    <col min="269" max="512" width="11.44140625" style="402"/>
    <col min="513" max="513" width="6.88671875" style="402" customWidth="1"/>
    <col min="514" max="514" width="35.88671875" style="402" customWidth="1"/>
    <col min="515" max="515" width="26.6640625" style="402" customWidth="1"/>
    <col min="516" max="516" width="32" style="402" customWidth="1"/>
    <col min="517" max="517" width="41.109375" style="402" customWidth="1"/>
    <col min="518" max="518" width="14.33203125" style="402" customWidth="1"/>
    <col min="519" max="519" width="16.6640625" style="402" customWidth="1"/>
    <col min="520" max="520" width="16" style="402" customWidth="1"/>
    <col min="521" max="521" width="17.33203125" style="402" customWidth="1"/>
    <col min="522" max="523" width="0" style="402" hidden="1" customWidth="1"/>
    <col min="524" max="524" width="12.6640625" style="402" customWidth="1"/>
    <col min="525" max="768" width="11.44140625" style="402"/>
    <col min="769" max="769" width="6.88671875" style="402" customWidth="1"/>
    <col min="770" max="770" width="35.88671875" style="402" customWidth="1"/>
    <col min="771" max="771" width="26.6640625" style="402" customWidth="1"/>
    <col min="772" max="772" width="32" style="402" customWidth="1"/>
    <col min="773" max="773" width="41.109375" style="402" customWidth="1"/>
    <col min="774" max="774" width="14.33203125" style="402" customWidth="1"/>
    <col min="775" max="775" width="16.6640625" style="402" customWidth="1"/>
    <col min="776" max="776" width="16" style="402" customWidth="1"/>
    <col min="777" max="777" width="17.33203125" style="402" customWidth="1"/>
    <col min="778" max="779" width="0" style="402" hidden="1" customWidth="1"/>
    <col min="780" max="780" width="12.6640625" style="402" customWidth="1"/>
    <col min="781" max="1024" width="11.44140625" style="402"/>
    <col min="1025" max="1025" width="6.88671875" style="402" customWidth="1"/>
    <col min="1026" max="1026" width="35.88671875" style="402" customWidth="1"/>
    <col min="1027" max="1027" width="26.6640625" style="402" customWidth="1"/>
    <col min="1028" max="1028" width="32" style="402" customWidth="1"/>
    <col min="1029" max="1029" width="41.109375" style="402" customWidth="1"/>
    <col min="1030" max="1030" width="14.33203125" style="402" customWidth="1"/>
    <col min="1031" max="1031" width="16.6640625" style="402" customWidth="1"/>
    <col min="1032" max="1032" width="16" style="402" customWidth="1"/>
    <col min="1033" max="1033" width="17.33203125" style="402" customWidth="1"/>
    <col min="1034" max="1035" width="0" style="402" hidden="1" customWidth="1"/>
    <col min="1036" max="1036" width="12.6640625" style="402" customWidth="1"/>
    <col min="1037" max="1280" width="11.44140625" style="402"/>
    <col min="1281" max="1281" width="6.88671875" style="402" customWidth="1"/>
    <col min="1282" max="1282" width="35.88671875" style="402" customWidth="1"/>
    <col min="1283" max="1283" width="26.6640625" style="402" customWidth="1"/>
    <col min="1284" max="1284" width="32" style="402" customWidth="1"/>
    <col min="1285" max="1285" width="41.109375" style="402" customWidth="1"/>
    <col min="1286" max="1286" width="14.33203125" style="402" customWidth="1"/>
    <col min="1287" max="1287" width="16.6640625" style="402" customWidth="1"/>
    <col min="1288" max="1288" width="16" style="402" customWidth="1"/>
    <col min="1289" max="1289" width="17.33203125" style="402" customWidth="1"/>
    <col min="1290" max="1291" width="0" style="402" hidden="1" customWidth="1"/>
    <col min="1292" max="1292" width="12.6640625" style="402" customWidth="1"/>
    <col min="1293" max="1536" width="11.44140625" style="402"/>
    <col min="1537" max="1537" width="6.88671875" style="402" customWidth="1"/>
    <col min="1538" max="1538" width="35.88671875" style="402" customWidth="1"/>
    <col min="1539" max="1539" width="26.6640625" style="402" customWidth="1"/>
    <col min="1540" max="1540" width="32" style="402" customWidth="1"/>
    <col min="1541" max="1541" width="41.109375" style="402" customWidth="1"/>
    <col min="1542" max="1542" width="14.33203125" style="402" customWidth="1"/>
    <col min="1543" max="1543" width="16.6640625" style="402" customWidth="1"/>
    <col min="1544" max="1544" width="16" style="402" customWidth="1"/>
    <col min="1545" max="1545" width="17.33203125" style="402" customWidth="1"/>
    <col min="1546" max="1547" width="0" style="402" hidden="1" customWidth="1"/>
    <col min="1548" max="1548" width="12.6640625" style="402" customWidth="1"/>
    <col min="1549" max="1792" width="11.44140625" style="402"/>
    <col min="1793" max="1793" width="6.88671875" style="402" customWidth="1"/>
    <col min="1794" max="1794" width="35.88671875" style="402" customWidth="1"/>
    <col min="1795" max="1795" width="26.6640625" style="402" customWidth="1"/>
    <col min="1796" max="1796" width="32" style="402" customWidth="1"/>
    <col min="1797" max="1797" width="41.109375" style="402" customWidth="1"/>
    <col min="1798" max="1798" width="14.33203125" style="402" customWidth="1"/>
    <col min="1799" max="1799" width="16.6640625" style="402" customWidth="1"/>
    <col min="1800" max="1800" width="16" style="402" customWidth="1"/>
    <col min="1801" max="1801" width="17.33203125" style="402" customWidth="1"/>
    <col min="1802" max="1803" width="0" style="402" hidden="1" customWidth="1"/>
    <col min="1804" max="1804" width="12.6640625" style="402" customWidth="1"/>
    <col min="1805" max="2048" width="11.44140625" style="402"/>
    <col min="2049" max="2049" width="6.88671875" style="402" customWidth="1"/>
    <col min="2050" max="2050" width="35.88671875" style="402" customWidth="1"/>
    <col min="2051" max="2051" width="26.6640625" style="402" customWidth="1"/>
    <col min="2052" max="2052" width="32" style="402" customWidth="1"/>
    <col min="2053" max="2053" width="41.109375" style="402" customWidth="1"/>
    <col min="2054" max="2054" width="14.33203125" style="402" customWidth="1"/>
    <col min="2055" max="2055" width="16.6640625" style="402" customWidth="1"/>
    <col min="2056" max="2056" width="16" style="402" customWidth="1"/>
    <col min="2057" max="2057" width="17.33203125" style="402" customWidth="1"/>
    <col min="2058" max="2059" width="0" style="402" hidden="1" customWidth="1"/>
    <col min="2060" max="2060" width="12.6640625" style="402" customWidth="1"/>
    <col min="2061" max="2304" width="11.44140625" style="402"/>
    <col min="2305" max="2305" width="6.88671875" style="402" customWidth="1"/>
    <col min="2306" max="2306" width="35.88671875" style="402" customWidth="1"/>
    <col min="2307" max="2307" width="26.6640625" style="402" customWidth="1"/>
    <col min="2308" max="2308" width="32" style="402" customWidth="1"/>
    <col min="2309" max="2309" width="41.109375" style="402" customWidth="1"/>
    <col min="2310" max="2310" width="14.33203125" style="402" customWidth="1"/>
    <col min="2311" max="2311" width="16.6640625" style="402" customWidth="1"/>
    <col min="2312" max="2312" width="16" style="402" customWidth="1"/>
    <col min="2313" max="2313" width="17.33203125" style="402" customWidth="1"/>
    <col min="2314" max="2315" width="0" style="402" hidden="1" customWidth="1"/>
    <col min="2316" max="2316" width="12.6640625" style="402" customWidth="1"/>
    <col min="2317" max="2560" width="11.44140625" style="402"/>
    <col min="2561" max="2561" width="6.88671875" style="402" customWidth="1"/>
    <col min="2562" max="2562" width="35.88671875" style="402" customWidth="1"/>
    <col min="2563" max="2563" width="26.6640625" style="402" customWidth="1"/>
    <col min="2564" max="2564" width="32" style="402" customWidth="1"/>
    <col min="2565" max="2565" width="41.109375" style="402" customWidth="1"/>
    <col min="2566" max="2566" width="14.33203125" style="402" customWidth="1"/>
    <col min="2567" max="2567" width="16.6640625" style="402" customWidth="1"/>
    <col min="2568" max="2568" width="16" style="402" customWidth="1"/>
    <col min="2569" max="2569" width="17.33203125" style="402" customWidth="1"/>
    <col min="2570" max="2571" width="0" style="402" hidden="1" customWidth="1"/>
    <col min="2572" max="2572" width="12.6640625" style="402" customWidth="1"/>
    <col min="2573" max="2816" width="11.44140625" style="402"/>
    <col min="2817" max="2817" width="6.88671875" style="402" customWidth="1"/>
    <col min="2818" max="2818" width="35.88671875" style="402" customWidth="1"/>
    <col min="2819" max="2819" width="26.6640625" style="402" customWidth="1"/>
    <col min="2820" max="2820" width="32" style="402" customWidth="1"/>
    <col min="2821" max="2821" width="41.109375" style="402" customWidth="1"/>
    <col min="2822" max="2822" width="14.33203125" style="402" customWidth="1"/>
    <col min="2823" max="2823" width="16.6640625" style="402" customWidth="1"/>
    <col min="2824" max="2824" width="16" style="402" customWidth="1"/>
    <col min="2825" max="2825" width="17.33203125" style="402" customWidth="1"/>
    <col min="2826" max="2827" width="0" style="402" hidden="1" customWidth="1"/>
    <col min="2828" max="2828" width="12.6640625" style="402" customWidth="1"/>
    <col min="2829" max="3072" width="11.44140625" style="402"/>
    <col min="3073" max="3073" width="6.88671875" style="402" customWidth="1"/>
    <col min="3074" max="3074" width="35.88671875" style="402" customWidth="1"/>
    <col min="3075" max="3075" width="26.6640625" style="402" customWidth="1"/>
    <col min="3076" max="3076" width="32" style="402" customWidth="1"/>
    <col min="3077" max="3077" width="41.109375" style="402" customWidth="1"/>
    <col min="3078" max="3078" width="14.33203125" style="402" customWidth="1"/>
    <col min="3079" max="3079" width="16.6640625" style="402" customWidth="1"/>
    <col min="3080" max="3080" width="16" style="402" customWidth="1"/>
    <col min="3081" max="3081" width="17.33203125" style="402" customWidth="1"/>
    <col min="3082" max="3083" width="0" style="402" hidden="1" customWidth="1"/>
    <col min="3084" max="3084" width="12.6640625" style="402" customWidth="1"/>
    <col min="3085" max="3328" width="11.44140625" style="402"/>
    <col min="3329" max="3329" width="6.88671875" style="402" customWidth="1"/>
    <col min="3330" max="3330" width="35.88671875" style="402" customWidth="1"/>
    <col min="3331" max="3331" width="26.6640625" style="402" customWidth="1"/>
    <col min="3332" max="3332" width="32" style="402" customWidth="1"/>
    <col min="3333" max="3333" width="41.109375" style="402" customWidth="1"/>
    <col min="3334" max="3334" width="14.33203125" style="402" customWidth="1"/>
    <col min="3335" max="3335" width="16.6640625" style="402" customWidth="1"/>
    <col min="3336" max="3336" width="16" style="402" customWidth="1"/>
    <col min="3337" max="3337" width="17.33203125" style="402" customWidth="1"/>
    <col min="3338" max="3339" width="0" style="402" hidden="1" customWidth="1"/>
    <col min="3340" max="3340" width="12.6640625" style="402" customWidth="1"/>
    <col min="3341" max="3584" width="11.44140625" style="402"/>
    <col min="3585" max="3585" width="6.88671875" style="402" customWidth="1"/>
    <col min="3586" max="3586" width="35.88671875" style="402" customWidth="1"/>
    <col min="3587" max="3587" width="26.6640625" style="402" customWidth="1"/>
    <col min="3588" max="3588" width="32" style="402" customWidth="1"/>
    <col min="3589" max="3589" width="41.109375" style="402" customWidth="1"/>
    <col min="3590" max="3590" width="14.33203125" style="402" customWidth="1"/>
    <col min="3591" max="3591" width="16.6640625" style="402" customWidth="1"/>
    <col min="3592" max="3592" width="16" style="402" customWidth="1"/>
    <col min="3593" max="3593" width="17.33203125" style="402" customWidth="1"/>
    <col min="3594" max="3595" width="0" style="402" hidden="1" customWidth="1"/>
    <col min="3596" max="3596" width="12.6640625" style="402" customWidth="1"/>
    <col min="3597" max="3840" width="11.44140625" style="402"/>
    <col min="3841" max="3841" width="6.88671875" style="402" customWidth="1"/>
    <col min="3842" max="3842" width="35.88671875" style="402" customWidth="1"/>
    <col min="3843" max="3843" width="26.6640625" style="402" customWidth="1"/>
    <col min="3844" max="3844" width="32" style="402" customWidth="1"/>
    <col min="3845" max="3845" width="41.109375" style="402" customWidth="1"/>
    <col min="3846" max="3846" width="14.33203125" style="402" customWidth="1"/>
    <col min="3847" max="3847" width="16.6640625" style="402" customWidth="1"/>
    <col min="3848" max="3848" width="16" style="402" customWidth="1"/>
    <col min="3849" max="3849" width="17.33203125" style="402" customWidth="1"/>
    <col min="3850" max="3851" width="0" style="402" hidden="1" customWidth="1"/>
    <col min="3852" max="3852" width="12.6640625" style="402" customWidth="1"/>
    <col min="3853" max="4096" width="11.44140625" style="402"/>
    <col min="4097" max="4097" width="6.88671875" style="402" customWidth="1"/>
    <col min="4098" max="4098" width="35.88671875" style="402" customWidth="1"/>
    <col min="4099" max="4099" width="26.6640625" style="402" customWidth="1"/>
    <col min="4100" max="4100" width="32" style="402" customWidth="1"/>
    <col min="4101" max="4101" width="41.109375" style="402" customWidth="1"/>
    <col min="4102" max="4102" width="14.33203125" style="402" customWidth="1"/>
    <col min="4103" max="4103" width="16.6640625" style="402" customWidth="1"/>
    <col min="4104" max="4104" width="16" style="402" customWidth="1"/>
    <col min="4105" max="4105" width="17.33203125" style="402" customWidth="1"/>
    <col min="4106" max="4107" width="0" style="402" hidden="1" customWidth="1"/>
    <col min="4108" max="4108" width="12.6640625" style="402" customWidth="1"/>
    <col min="4109" max="4352" width="11.44140625" style="402"/>
    <col min="4353" max="4353" width="6.88671875" style="402" customWidth="1"/>
    <col min="4354" max="4354" width="35.88671875" style="402" customWidth="1"/>
    <col min="4355" max="4355" width="26.6640625" style="402" customWidth="1"/>
    <col min="4356" max="4356" width="32" style="402" customWidth="1"/>
    <col min="4357" max="4357" width="41.109375" style="402" customWidth="1"/>
    <col min="4358" max="4358" width="14.33203125" style="402" customWidth="1"/>
    <col min="4359" max="4359" width="16.6640625" style="402" customWidth="1"/>
    <col min="4360" max="4360" width="16" style="402" customWidth="1"/>
    <col min="4361" max="4361" width="17.33203125" style="402" customWidth="1"/>
    <col min="4362" max="4363" width="0" style="402" hidden="1" customWidth="1"/>
    <col min="4364" max="4364" width="12.6640625" style="402" customWidth="1"/>
    <col min="4365" max="4608" width="11.44140625" style="402"/>
    <col min="4609" max="4609" width="6.88671875" style="402" customWidth="1"/>
    <col min="4610" max="4610" width="35.88671875" style="402" customWidth="1"/>
    <col min="4611" max="4611" width="26.6640625" style="402" customWidth="1"/>
    <col min="4612" max="4612" width="32" style="402" customWidth="1"/>
    <col min="4613" max="4613" width="41.109375" style="402" customWidth="1"/>
    <col min="4614" max="4614" width="14.33203125" style="402" customWidth="1"/>
    <col min="4615" max="4615" width="16.6640625" style="402" customWidth="1"/>
    <col min="4616" max="4616" width="16" style="402" customWidth="1"/>
    <col min="4617" max="4617" width="17.33203125" style="402" customWidth="1"/>
    <col min="4618" max="4619" width="0" style="402" hidden="1" customWidth="1"/>
    <col min="4620" max="4620" width="12.6640625" style="402" customWidth="1"/>
    <col min="4621" max="4864" width="11.44140625" style="402"/>
    <col min="4865" max="4865" width="6.88671875" style="402" customWidth="1"/>
    <col min="4866" max="4866" width="35.88671875" style="402" customWidth="1"/>
    <col min="4867" max="4867" width="26.6640625" style="402" customWidth="1"/>
    <col min="4868" max="4868" width="32" style="402" customWidth="1"/>
    <col min="4869" max="4869" width="41.109375" style="402" customWidth="1"/>
    <col min="4870" max="4870" width="14.33203125" style="402" customWidth="1"/>
    <col min="4871" max="4871" width="16.6640625" style="402" customWidth="1"/>
    <col min="4872" max="4872" width="16" style="402" customWidth="1"/>
    <col min="4873" max="4873" width="17.33203125" style="402" customWidth="1"/>
    <col min="4874" max="4875" width="0" style="402" hidden="1" customWidth="1"/>
    <col min="4876" max="4876" width="12.6640625" style="402" customWidth="1"/>
    <col min="4877" max="5120" width="11.44140625" style="402"/>
    <col min="5121" max="5121" width="6.88671875" style="402" customWidth="1"/>
    <col min="5122" max="5122" width="35.88671875" style="402" customWidth="1"/>
    <col min="5123" max="5123" width="26.6640625" style="402" customWidth="1"/>
    <col min="5124" max="5124" width="32" style="402" customWidth="1"/>
    <col min="5125" max="5125" width="41.109375" style="402" customWidth="1"/>
    <col min="5126" max="5126" width="14.33203125" style="402" customWidth="1"/>
    <col min="5127" max="5127" width="16.6640625" style="402" customWidth="1"/>
    <col min="5128" max="5128" width="16" style="402" customWidth="1"/>
    <col min="5129" max="5129" width="17.33203125" style="402" customWidth="1"/>
    <col min="5130" max="5131" width="0" style="402" hidden="1" customWidth="1"/>
    <col min="5132" max="5132" width="12.6640625" style="402" customWidth="1"/>
    <col min="5133" max="5376" width="11.44140625" style="402"/>
    <col min="5377" max="5377" width="6.88671875" style="402" customWidth="1"/>
    <col min="5378" max="5378" width="35.88671875" style="402" customWidth="1"/>
    <col min="5379" max="5379" width="26.6640625" style="402" customWidth="1"/>
    <col min="5380" max="5380" width="32" style="402" customWidth="1"/>
    <col min="5381" max="5381" width="41.109375" style="402" customWidth="1"/>
    <col min="5382" max="5382" width="14.33203125" style="402" customWidth="1"/>
    <col min="5383" max="5383" width="16.6640625" style="402" customWidth="1"/>
    <col min="5384" max="5384" width="16" style="402" customWidth="1"/>
    <col min="5385" max="5385" width="17.33203125" style="402" customWidth="1"/>
    <col min="5386" max="5387" width="0" style="402" hidden="1" customWidth="1"/>
    <col min="5388" max="5388" width="12.6640625" style="402" customWidth="1"/>
    <col min="5389" max="5632" width="11.44140625" style="402"/>
    <col min="5633" max="5633" width="6.88671875" style="402" customWidth="1"/>
    <col min="5634" max="5634" width="35.88671875" style="402" customWidth="1"/>
    <col min="5635" max="5635" width="26.6640625" style="402" customWidth="1"/>
    <col min="5636" max="5636" width="32" style="402" customWidth="1"/>
    <col min="5637" max="5637" width="41.109375" style="402" customWidth="1"/>
    <col min="5638" max="5638" width="14.33203125" style="402" customWidth="1"/>
    <col min="5639" max="5639" width="16.6640625" style="402" customWidth="1"/>
    <col min="5640" max="5640" width="16" style="402" customWidth="1"/>
    <col min="5641" max="5641" width="17.33203125" style="402" customWidth="1"/>
    <col min="5642" max="5643" width="0" style="402" hidden="1" customWidth="1"/>
    <col min="5644" max="5644" width="12.6640625" style="402" customWidth="1"/>
    <col min="5645" max="5888" width="11.44140625" style="402"/>
    <col min="5889" max="5889" width="6.88671875" style="402" customWidth="1"/>
    <col min="5890" max="5890" width="35.88671875" style="402" customWidth="1"/>
    <col min="5891" max="5891" width="26.6640625" style="402" customWidth="1"/>
    <col min="5892" max="5892" width="32" style="402" customWidth="1"/>
    <col min="5893" max="5893" width="41.109375" style="402" customWidth="1"/>
    <col min="5894" max="5894" width="14.33203125" style="402" customWidth="1"/>
    <col min="5895" max="5895" width="16.6640625" style="402" customWidth="1"/>
    <col min="5896" max="5896" width="16" style="402" customWidth="1"/>
    <col min="5897" max="5897" width="17.33203125" style="402" customWidth="1"/>
    <col min="5898" max="5899" width="0" style="402" hidden="1" customWidth="1"/>
    <col min="5900" max="5900" width="12.6640625" style="402" customWidth="1"/>
    <col min="5901" max="6144" width="11.44140625" style="402"/>
    <col min="6145" max="6145" width="6.88671875" style="402" customWidth="1"/>
    <col min="6146" max="6146" width="35.88671875" style="402" customWidth="1"/>
    <col min="6147" max="6147" width="26.6640625" style="402" customWidth="1"/>
    <col min="6148" max="6148" width="32" style="402" customWidth="1"/>
    <col min="6149" max="6149" width="41.109375" style="402" customWidth="1"/>
    <col min="6150" max="6150" width="14.33203125" style="402" customWidth="1"/>
    <col min="6151" max="6151" width="16.6640625" style="402" customWidth="1"/>
    <col min="6152" max="6152" width="16" style="402" customWidth="1"/>
    <col min="6153" max="6153" width="17.33203125" style="402" customWidth="1"/>
    <col min="6154" max="6155" width="0" style="402" hidden="1" customWidth="1"/>
    <col min="6156" max="6156" width="12.6640625" style="402" customWidth="1"/>
    <col min="6157" max="6400" width="11.44140625" style="402"/>
    <col min="6401" max="6401" width="6.88671875" style="402" customWidth="1"/>
    <col min="6402" max="6402" width="35.88671875" style="402" customWidth="1"/>
    <col min="6403" max="6403" width="26.6640625" style="402" customWidth="1"/>
    <col min="6404" max="6404" width="32" style="402" customWidth="1"/>
    <col min="6405" max="6405" width="41.109375" style="402" customWidth="1"/>
    <col min="6406" max="6406" width="14.33203125" style="402" customWidth="1"/>
    <col min="6407" max="6407" width="16.6640625" style="402" customWidth="1"/>
    <col min="6408" max="6408" width="16" style="402" customWidth="1"/>
    <col min="6409" max="6409" width="17.33203125" style="402" customWidth="1"/>
    <col min="6410" max="6411" width="0" style="402" hidden="1" customWidth="1"/>
    <col min="6412" max="6412" width="12.6640625" style="402" customWidth="1"/>
    <col min="6413" max="6656" width="11.44140625" style="402"/>
    <col min="6657" max="6657" width="6.88671875" style="402" customWidth="1"/>
    <col min="6658" max="6658" width="35.88671875" style="402" customWidth="1"/>
    <col min="6659" max="6659" width="26.6640625" style="402" customWidth="1"/>
    <col min="6660" max="6660" width="32" style="402" customWidth="1"/>
    <col min="6661" max="6661" width="41.109375" style="402" customWidth="1"/>
    <col min="6662" max="6662" width="14.33203125" style="402" customWidth="1"/>
    <col min="6663" max="6663" width="16.6640625" style="402" customWidth="1"/>
    <col min="6664" max="6664" width="16" style="402" customWidth="1"/>
    <col min="6665" max="6665" width="17.33203125" style="402" customWidth="1"/>
    <col min="6666" max="6667" width="0" style="402" hidden="1" customWidth="1"/>
    <col min="6668" max="6668" width="12.6640625" style="402" customWidth="1"/>
    <col min="6669" max="6912" width="11.44140625" style="402"/>
    <col min="6913" max="6913" width="6.88671875" style="402" customWidth="1"/>
    <col min="6914" max="6914" width="35.88671875" style="402" customWidth="1"/>
    <col min="6915" max="6915" width="26.6640625" style="402" customWidth="1"/>
    <col min="6916" max="6916" width="32" style="402" customWidth="1"/>
    <col min="6917" max="6917" width="41.109375" style="402" customWidth="1"/>
    <col min="6918" max="6918" width="14.33203125" style="402" customWidth="1"/>
    <col min="6919" max="6919" width="16.6640625" style="402" customWidth="1"/>
    <col min="6920" max="6920" width="16" style="402" customWidth="1"/>
    <col min="6921" max="6921" width="17.33203125" style="402" customWidth="1"/>
    <col min="6922" max="6923" width="0" style="402" hidden="1" customWidth="1"/>
    <col min="6924" max="6924" width="12.6640625" style="402" customWidth="1"/>
    <col min="6925" max="7168" width="11.44140625" style="402"/>
    <col min="7169" max="7169" width="6.88671875" style="402" customWidth="1"/>
    <col min="7170" max="7170" width="35.88671875" style="402" customWidth="1"/>
    <col min="7171" max="7171" width="26.6640625" style="402" customWidth="1"/>
    <col min="7172" max="7172" width="32" style="402" customWidth="1"/>
    <col min="7173" max="7173" width="41.109375" style="402" customWidth="1"/>
    <col min="7174" max="7174" width="14.33203125" style="402" customWidth="1"/>
    <col min="7175" max="7175" width="16.6640625" style="402" customWidth="1"/>
    <col min="7176" max="7176" width="16" style="402" customWidth="1"/>
    <col min="7177" max="7177" width="17.33203125" style="402" customWidth="1"/>
    <col min="7178" max="7179" width="0" style="402" hidden="1" customWidth="1"/>
    <col min="7180" max="7180" width="12.6640625" style="402" customWidth="1"/>
    <col min="7181" max="7424" width="11.44140625" style="402"/>
    <col min="7425" max="7425" width="6.88671875" style="402" customWidth="1"/>
    <col min="7426" max="7426" width="35.88671875" style="402" customWidth="1"/>
    <col min="7427" max="7427" width="26.6640625" style="402" customWidth="1"/>
    <col min="7428" max="7428" width="32" style="402" customWidth="1"/>
    <col min="7429" max="7429" width="41.109375" style="402" customWidth="1"/>
    <col min="7430" max="7430" width="14.33203125" style="402" customWidth="1"/>
    <col min="7431" max="7431" width="16.6640625" style="402" customWidth="1"/>
    <col min="7432" max="7432" width="16" style="402" customWidth="1"/>
    <col min="7433" max="7433" width="17.33203125" style="402" customWidth="1"/>
    <col min="7434" max="7435" width="0" style="402" hidden="1" customWidth="1"/>
    <col min="7436" max="7436" width="12.6640625" style="402" customWidth="1"/>
    <col min="7437" max="7680" width="11.44140625" style="402"/>
    <col min="7681" max="7681" width="6.88671875" style="402" customWidth="1"/>
    <col min="7682" max="7682" width="35.88671875" style="402" customWidth="1"/>
    <col min="7683" max="7683" width="26.6640625" style="402" customWidth="1"/>
    <col min="7684" max="7684" width="32" style="402" customWidth="1"/>
    <col min="7685" max="7685" width="41.109375" style="402" customWidth="1"/>
    <col min="7686" max="7686" width="14.33203125" style="402" customWidth="1"/>
    <col min="7687" max="7687" width="16.6640625" style="402" customWidth="1"/>
    <col min="7688" max="7688" width="16" style="402" customWidth="1"/>
    <col min="7689" max="7689" width="17.33203125" style="402" customWidth="1"/>
    <col min="7690" max="7691" width="0" style="402" hidden="1" customWidth="1"/>
    <col min="7692" max="7692" width="12.6640625" style="402" customWidth="1"/>
    <col min="7693" max="7936" width="11.44140625" style="402"/>
    <col min="7937" max="7937" width="6.88671875" style="402" customWidth="1"/>
    <col min="7938" max="7938" width="35.88671875" style="402" customWidth="1"/>
    <col min="7939" max="7939" width="26.6640625" style="402" customWidth="1"/>
    <col min="7940" max="7940" width="32" style="402" customWidth="1"/>
    <col min="7941" max="7941" width="41.109375" style="402" customWidth="1"/>
    <col min="7942" max="7942" width="14.33203125" style="402" customWidth="1"/>
    <col min="7943" max="7943" width="16.6640625" style="402" customWidth="1"/>
    <col min="7944" max="7944" width="16" style="402" customWidth="1"/>
    <col min="7945" max="7945" width="17.33203125" style="402" customWidth="1"/>
    <col min="7946" max="7947" width="0" style="402" hidden="1" customWidth="1"/>
    <col min="7948" max="7948" width="12.6640625" style="402" customWidth="1"/>
    <col min="7949" max="8192" width="11.44140625" style="402"/>
    <col min="8193" max="8193" width="6.88671875" style="402" customWidth="1"/>
    <col min="8194" max="8194" width="35.88671875" style="402" customWidth="1"/>
    <col min="8195" max="8195" width="26.6640625" style="402" customWidth="1"/>
    <col min="8196" max="8196" width="32" style="402" customWidth="1"/>
    <col min="8197" max="8197" width="41.109375" style="402" customWidth="1"/>
    <col min="8198" max="8198" width="14.33203125" style="402" customWidth="1"/>
    <col min="8199" max="8199" width="16.6640625" style="402" customWidth="1"/>
    <col min="8200" max="8200" width="16" style="402" customWidth="1"/>
    <col min="8201" max="8201" width="17.33203125" style="402" customWidth="1"/>
    <col min="8202" max="8203" width="0" style="402" hidden="1" customWidth="1"/>
    <col min="8204" max="8204" width="12.6640625" style="402" customWidth="1"/>
    <col min="8205" max="8448" width="11.44140625" style="402"/>
    <col min="8449" max="8449" width="6.88671875" style="402" customWidth="1"/>
    <col min="8450" max="8450" width="35.88671875" style="402" customWidth="1"/>
    <col min="8451" max="8451" width="26.6640625" style="402" customWidth="1"/>
    <col min="8452" max="8452" width="32" style="402" customWidth="1"/>
    <col min="8453" max="8453" width="41.109375" style="402" customWidth="1"/>
    <col min="8454" max="8454" width="14.33203125" style="402" customWidth="1"/>
    <col min="8455" max="8455" width="16.6640625" style="402" customWidth="1"/>
    <col min="8456" max="8456" width="16" style="402" customWidth="1"/>
    <col min="8457" max="8457" width="17.33203125" style="402" customWidth="1"/>
    <col min="8458" max="8459" width="0" style="402" hidden="1" customWidth="1"/>
    <col min="8460" max="8460" width="12.6640625" style="402" customWidth="1"/>
    <col min="8461" max="8704" width="11.44140625" style="402"/>
    <col min="8705" max="8705" width="6.88671875" style="402" customWidth="1"/>
    <col min="8706" max="8706" width="35.88671875" style="402" customWidth="1"/>
    <col min="8707" max="8707" width="26.6640625" style="402" customWidth="1"/>
    <col min="8708" max="8708" width="32" style="402" customWidth="1"/>
    <col min="8709" max="8709" width="41.109375" style="402" customWidth="1"/>
    <col min="8710" max="8710" width="14.33203125" style="402" customWidth="1"/>
    <col min="8711" max="8711" width="16.6640625" style="402" customWidth="1"/>
    <col min="8712" max="8712" width="16" style="402" customWidth="1"/>
    <col min="8713" max="8713" width="17.33203125" style="402" customWidth="1"/>
    <col min="8714" max="8715" width="0" style="402" hidden="1" customWidth="1"/>
    <col min="8716" max="8716" width="12.6640625" style="402" customWidth="1"/>
    <col min="8717" max="8960" width="11.44140625" style="402"/>
    <col min="8961" max="8961" width="6.88671875" style="402" customWidth="1"/>
    <col min="8962" max="8962" width="35.88671875" style="402" customWidth="1"/>
    <col min="8963" max="8963" width="26.6640625" style="402" customWidth="1"/>
    <col min="8964" max="8964" width="32" style="402" customWidth="1"/>
    <col min="8965" max="8965" width="41.109375" style="402" customWidth="1"/>
    <col min="8966" max="8966" width="14.33203125" style="402" customWidth="1"/>
    <col min="8967" max="8967" width="16.6640625" style="402" customWidth="1"/>
    <col min="8968" max="8968" width="16" style="402" customWidth="1"/>
    <col min="8969" max="8969" width="17.33203125" style="402" customWidth="1"/>
    <col min="8970" max="8971" width="0" style="402" hidden="1" customWidth="1"/>
    <col min="8972" max="8972" width="12.6640625" style="402" customWidth="1"/>
    <col min="8973" max="9216" width="11.44140625" style="402"/>
    <col min="9217" max="9217" width="6.88671875" style="402" customWidth="1"/>
    <col min="9218" max="9218" width="35.88671875" style="402" customWidth="1"/>
    <col min="9219" max="9219" width="26.6640625" style="402" customWidth="1"/>
    <col min="9220" max="9220" width="32" style="402" customWidth="1"/>
    <col min="9221" max="9221" width="41.109375" style="402" customWidth="1"/>
    <col min="9222" max="9222" width="14.33203125" style="402" customWidth="1"/>
    <col min="9223" max="9223" width="16.6640625" style="402" customWidth="1"/>
    <col min="9224" max="9224" width="16" style="402" customWidth="1"/>
    <col min="9225" max="9225" width="17.33203125" style="402" customWidth="1"/>
    <col min="9226" max="9227" width="0" style="402" hidden="1" customWidth="1"/>
    <col min="9228" max="9228" width="12.6640625" style="402" customWidth="1"/>
    <col min="9229" max="9472" width="11.44140625" style="402"/>
    <col min="9473" max="9473" width="6.88671875" style="402" customWidth="1"/>
    <col min="9474" max="9474" width="35.88671875" style="402" customWidth="1"/>
    <col min="9475" max="9475" width="26.6640625" style="402" customWidth="1"/>
    <col min="9476" max="9476" width="32" style="402" customWidth="1"/>
    <col min="9477" max="9477" width="41.109375" style="402" customWidth="1"/>
    <col min="9478" max="9478" width="14.33203125" style="402" customWidth="1"/>
    <col min="9479" max="9479" width="16.6640625" style="402" customWidth="1"/>
    <col min="9480" max="9480" width="16" style="402" customWidth="1"/>
    <col min="9481" max="9481" width="17.33203125" style="402" customWidth="1"/>
    <col min="9482" max="9483" width="0" style="402" hidden="1" customWidth="1"/>
    <col min="9484" max="9484" width="12.6640625" style="402" customWidth="1"/>
    <col min="9485" max="9728" width="11.44140625" style="402"/>
    <col min="9729" max="9729" width="6.88671875" style="402" customWidth="1"/>
    <col min="9730" max="9730" width="35.88671875" style="402" customWidth="1"/>
    <col min="9731" max="9731" width="26.6640625" style="402" customWidth="1"/>
    <col min="9732" max="9732" width="32" style="402" customWidth="1"/>
    <col min="9733" max="9733" width="41.109375" style="402" customWidth="1"/>
    <col min="9734" max="9734" width="14.33203125" style="402" customWidth="1"/>
    <col min="9735" max="9735" width="16.6640625" style="402" customWidth="1"/>
    <col min="9736" max="9736" width="16" style="402" customWidth="1"/>
    <col min="9737" max="9737" width="17.33203125" style="402" customWidth="1"/>
    <col min="9738" max="9739" width="0" style="402" hidden="1" customWidth="1"/>
    <col min="9740" max="9740" width="12.6640625" style="402" customWidth="1"/>
    <col min="9741" max="9984" width="11.44140625" style="402"/>
    <col min="9985" max="9985" width="6.88671875" style="402" customWidth="1"/>
    <col min="9986" max="9986" width="35.88671875" style="402" customWidth="1"/>
    <col min="9987" max="9987" width="26.6640625" style="402" customWidth="1"/>
    <col min="9988" max="9988" width="32" style="402" customWidth="1"/>
    <col min="9989" max="9989" width="41.109375" style="402" customWidth="1"/>
    <col min="9990" max="9990" width="14.33203125" style="402" customWidth="1"/>
    <col min="9991" max="9991" width="16.6640625" style="402" customWidth="1"/>
    <col min="9992" max="9992" width="16" style="402" customWidth="1"/>
    <col min="9993" max="9993" width="17.33203125" style="402" customWidth="1"/>
    <col min="9994" max="9995" width="0" style="402" hidden="1" customWidth="1"/>
    <col min="9996" max="9996" width="12.6640625" style="402" customWidth="1"/>
    <col min="9997" max="10240" width="11.44140625" style="402"/>
    <col min="10241" max="10241" width="6.88671875" style="402" customWidth="1"/>
    <col min="10242" max="10242" width="35.88671875" style="402" customWidth="1"/>
    <col min="10243" max="10243" width="26.6640625" style="402" customWidth="1"/>
    <col min="10244" max="10244" width="32" style="402" customWidth="1"/>
    <col min="10245" max="10245" width="41.109375" style="402" customWidth="1"/>
    <col min="10246" max="10246" width="14.33203125" style="402" customWidth="1"/>
    <col min="10247" max="10247" width="16.6640625" style="402" customWidth="1"/>
    <col min="10248" max="10248" width="16" style="402" customWidth="1"/>
    <col min="10249" max="10249" width="17.33203125" style="402" customWidth="1"/>
    <col min="10250" max="10251" width="0" style="402" hidden="1" customWidth="1"/>
    <col min="10252" max="10252" width="12.6640625" style="402" customWidth="1"/>
    <col min="10253" max="10496" width="11.44140625" style="402"/>
    <col min="10497" max="10497" width="6.88671875" style="402" customWidth="1"/>
    <col min="10498" max="10498" width="35.88671875" style="402" customWidth="1"/>
    <col min="10499" max="10499" width="26.6640625" style="402" customWidth="1"/>
    <col min="10500" max="10500" width="32" style="402" customWidth="1"/>
    <col min="10501" max="10501" width="41.109375" style="402" customWidth="1"/>
    <col min="10502" max="10502" width="14.33203125" style="402" customWidth="1"/>
    <col min="10503" max="10503" width="16.6640625" style="402" customWidth="1"/>
    <col min="10504" max="10504" width="16" style="402" customWidth="1"/>
    <col min="10505" max="10505" width="17.33203125" style="402" customWidth="1"/>
    <col min="10506" max="10507" width="0" style="402" hidden="1" customWidth="1"/>
    <col min="10508" max="10508" width="12.6640625" style="402" customWidth="1"/>
    <col min="10509" max="10752" width="11.44140625" style="402"/>
    <col min="10753" max="10753" width="6.88671875" style="402" customWidth="1"/>
    <col min="10754" max="10754" width="35.88671875" style="402" customWidth="1"/>
    <col min="10755" max="10755" width="26.6640625" style="402" customWidth="1"/>
    <col min="10756" max="10756" width="32" style="402" customWidth="1"/>
    <col min="10757" max="10757" width="41.109375" style="402" customWidth="1"/>
    <col min="10758" max="10758" width="14.33203125" style="402" customWidth="1"/>
    <col min="10759" max="10759" width="16.6640625" style="402" customWidth="1"/>
    <col min="10760" max="10760" width="16" style="402" customWidth="1"/>
    <col min="10761" max="10761" width="17.33203125" style="402" customWidth="1"/>
    <col min="10762" max="10763" width="0" style="402" hidden="1" customWidth="1"/>
    <col min="10764" max="10764" width="12.6640625" style="402" customWidth="1"/>
    <col min="10765" max="11008" width="11.44140625" style="402"/>
    <col min="11009" max="11009" width="6.88671875" style="402" customWidth="1"/>
    <col min="11010" max="11010" width="35.88671875" style="402" customWidth="1"/>
    <col min="11011" max="11011" width="26.6640625" style="402" customWidth="1"/>
    <col min="11012" max="11012" width="32" style="402" customWidth="1"/>
    <col min="11013" max="11013" width="41.109375" style="402" customWidth="1"/>
    <col min="11014" max="11014" width="14.33203125" style="402" customWidth="1"/>
    <col min="11015" max="11015" width="16.6640625" style="402" customWidth="1"/>
    <col min="11016" max="11016" width="16" style="402" customWidth="1"/>
    <col min="11017" max="11017" width="17.33203125" style="402" customWidth="1"/>
    <col min="11018" max="11019" width="0" style="402" hidden="1" customWidth="1"/>
    <col min="11020" max="11020" width="12.6640625" style="402" customWidth="1"/>
    <col min="11021" max="11264" width="11.44140625" style="402"/>
    <col min="11265" max="11265" width="6.88671875" style="402" customWidth="1"/>
    <col min="11266" max="11266" width="35.88671875" style="402" customWidth="1"/>
    <col min="11267" max="11267" width="26.6640625" style="402" customWidth="1"/>
    <col min="11268" max="11268" width="32" style="402" customWidth="1"/>
    <col min="11269" max="11269" width="41.109375" style="402" customWidth="1"/>
    <col min="11270" max="11270" width="14.33203125" style="402" customWidth="1"/>
    <col min="11271" max="11271" width="16.6640625" style="402" customWidth="1"/>
    <col min="11272" max="11272" width="16" style="402" customWidth="1"/>
    <col min="11273" max="11273" width="17.33203125" style="402" customWidth="1"/>
    <col min="11274" max="11275" width="0" style="402" hidden="1" customWidth="1"/>
    <col min="11276" max="11276" width="12.6640625" style="402" customWidth="1"/>
    <col min="11277" max="11520" width="11.44140625" style="402"/>
    <col min="11521" max="11521" width="6.88671875" style="402" customWidth="1"/>
    <col min="11522" max="11522" width="35.88671875" style="402" customWidth="1"/>
    <col min="11523" max="11523" width="26.6640625" style="402" customWidth="1"/>
    <col min="11524" max="11524" width="32" style="402" customWidth="1"/>
    <col min="11525" max="11525" width="41.109375" style="402" customWidth="1"/>
    <col min="11526" max="11526" width="14.33203125" style="402" customWidth="1"/>
    <col min="11527" max="11527" width="16.6640625" style="402" customWidth="1"/>
    <col min="11528" max="11528" width="16" style="402" customWidth="1"/>
    <col min="11529" max="11529" width="17.33203125" style="402" customWidth="1"/>
    <col min="11530" max="11531" width="0" style="402" hidden="1" customWidth="1"/>
    <col min="11532" max="11532" width="12.6640625" style="402" customWidth="1"/>
    <col min="11533" max="11776" width="11.44140625" style="402"/>
    <col min="11777" max="11777" width="6.88671875" style="402" customWidth="1"/>
    <col min="11778" max="11778" width="35.88671875" style="402" customWidth="1"/>
    <col min="11779" max="11779" width="26.6640625" style="402" customWidth="1"/>
    <col min="11780" max="11780" width="32" style="402" customWidth="1"/>
    <col min="11781" max="11781" width="41.109375" style="402" customWidth="1"/>
    <col min="11782" max="11782" width="14.33203125" style="402" customWidth="1"/>
    <col min="11783" max="11783" width="16.6640625" style="402" customWidth="1"/>
    <col min="11784" max="11784" width="16" style="402" customWidth="1"/>
    <col min="11785" max="11785" width="17.33203125" style="402" customWidth="1"/>
    <col min="11786" max="11787" width="0" style="402" hidden="1" customWidth="1"/>
    <col min="11788" max="11788" width="12.6640625" style="402" customWidth="1"/>
    <col min="11789" max="12032" width="11.44140625" style="402"/>
    <col min="12033" max="12033" width="6.88671875" style="402" customWidth="1"/>
    <col min="12034" max="12034" width="35.88671875" style="402" customWidth="1"/>
    <col min="12035" max="12035" width="26.6640625" style="402" customWidth="1"/>
    <col min="12036" max="12036" width="32" style="402" customWidth="1"/>
    <col min="12037" max="12037" width="41.109375" style="402" customWidth="1"/>
    <col min="12038" max="12038" width="14.33203125" style="402" customWidth="1"/>
    <col min="12039" max="12039" width="16.6640625" style="402" customWidth="1"/>
    <col min="12040" max="12040" width="16" style="402" customWidth="1"/>
    <col min="12041" max="12041" width="17.33203125" style="402" customWidth="1"/>
    <col min="12042" max="12043" width="0" style="402" hidden="1" customWidth="1"/>
    <col min="12044" max="12044" width="12.6640625" style="402" customWidth="1"/>
    <col min="12045" max="12288" width="11.44140625" style="402"/>
    <col min="12289" max="12289" width="6.88671875" style="402" customWidth="1"/>
    <col min="12290" max="12290" width="35.88671875" style="402" customWidth="1"/>
    <col min="12291" max="12291" width="26.6640625" style="402" customWidth="1"/>
    <col min="12292" max="12292" width="32" style="402" customWidth="1"/>
    <col min="12293" max="12293" width="41.109375" style="402" customWidth="1"/>
    <col min="12294" max="12294" width="14.33203125" style="402" customWidth="1"/>
    <col min="12295" max="12295" width="16.6640625" style="402" customWidth="1"/>
    <col min="12296" max="12296" width="16" style="402" customWidth="1"/>
    <col min="12297" max="12297" width="17.33203125" style="402" customWidth="1"/>
    <col min="12298" max="12299" width="0" style="402" hidden="1" customWidth="1"/>
    <col min="12300" max="12300" width="12.6640625" style="402" customWidth="1"/>
    <col min="12301" max="12544" width="11.44140625" style="402"/>
    <col min="12545" max="12545" width="6.88671875" style="402" customWidth="1"/>
    <col min="12546" max="12546" width="35.88671875" style="402" customWidth="1"/>
    <col min="12547" max="12547" width="26.6640625" style="402" customWidth="1"/>
    <col min="12548" max="12548" width="32" style="402" customWidth="1"/>
    <col min="12549" max="12549" width="41.109375" style="402" customWidth="1"/>
    <col min="12550" max="12550" width="14.33203125" style="402" customWidth="1"/>
    <col min="12551" max="12551" width="16.6640625" style="402" customWidth="1"/>
    <col min="12552" max="12552" width="16" style="402" customWidth="1"/>
    <col min="12553" max="12553" width="17.33203125" style="402" customWidth="1"/>
    <col min="12554" max="12555" width="0" style="402" hidden="1" customWidth="1"/>
    <col min="12556" max="12556" width="12.6640625" style="402" customWidth="1"/>
    <col min="12557" max="12800" width="11.44140625" style="402"/>
    <col min="12801" max="12801" width="6.88671875" style="402" customWidth="1"/>
    <col min="12802" max="12802" width="35.88671875" style="402" customWidth="1"/>
    <col min="12803" max="12803" width="26.6640625" style="402" customWidth="1"/>
    <col min="12804" max="12804" width="32" style="402" customWidth="1"/>
    <col min="12805" max="12805" width="41.109375" style="402" customWidth="1"/>
    <col min="12806" max="12806" width="14.33203125" style="402" customWidth="1"/>
    <col min="12807" max="12807" width="16.6640625" style="402" customWidth="1"/>
    <col min="12808" max="12808" width="16" style="402" customWidth="1"/>
    <col min="12809" max="12809" width="17.33203125" style="402" customWidth="1"/>
    <col min="12810" max="12811" width="0" style="402" hidden="1" customWidth="1"/>
    <col min="12812" max="12812" width="12.6640625" style="402" customWidth="1"/>
    <col min="12813" max="13056" width="11.44140625" style="402"/>
    <col min="13057" max="13057" width="6.88671875" style="402" customWidth="1"/>
    <col min="13058" max="13058" width="35.88671875" style="402" customWidth="1"/>
    <col min="13059" max="13059" width="26.6640625" style="402" customWidth="1"/>
    <col min="13060" max="13060" width="32" style="402" customWidth="1"/>
    <col min="13061" max="13061" width="41.109375" style="402" customWidth="1"/>
    <col min="13062" max="13062" width="14.33203125" style="402" customWidth="1"/>
    <col min="13063" max="13063" width="16.6640625" style="402" customWidth="1"/>
    <col min="13064" max="13064" width="16" style="402" customWidth="1"/>
    <col min="13065" max="13065" width="17.33203125" style="402" customWidth="1"/>
    <col min="13066" max="13067" width="0" style="402" hidden="1" customWidth="1"/>
    <col min="13068" max="13068" width="12.6640625" style="402" customWidth="1"/>
    <col min="13069" max="13312" width="11.44140625" style="402"/>
    <col min="13313" max="13313" width="6.88671875" style="402" customWidth="1"/>
    <col min="13314" max="13314" width="35.88671875" style="402" customWidth="1"/>
    <col min="13315" max="13315" width="26.6640625" style="402" customWidth="1"/>
    <col min="13316" max="13316" width="32" style="402" customWidth="1"/>
    <col min="13317" max="13317" width="41.109375" style="402" customWidth="1"/>
    <col min="13318" max="13318" width="14.33203125" style="402" customWidth="1"/>
    <col min="13319" max="13319" width="16.6640625" style="402" customWidth="1"/>
    <col min="13320" max="13320" width="16" style="402" customWidth="1"/>
    <col min="13321" max="13321" width="17.33203125" style="402" customWidth="1"/>
    <col min="13322" max="13323" width="0" style="402" hidden="1" customWidth="1"/>
    <col min="13324" max="13324" width="12.6640625" style="402" customWidth="1"/>
    <col min="13325" max="13568" width="11.44140625" style="402"/>
    <col min="13569" max="13569" width="6.88671875" style="402" customWidth="1"/>
    <col min="13570" max="13570" width="35.88671875" style="402" customWidth="1"/>
    <col min="13571" max="13571" width="26.6640625" style="402" customWidth="1"/>
    <col min="13572" max="13572" width="32" style="402" customWidth="1"/>
    <col min="13573" max="13573" width="41.109375" style="402" customWidth="1"/>
    <col min="13574" max="13574" width="14.33203125" style="402" customWidth="1"/>
    <col min="13575" max="13575" width="16.6640625" style="402" customWidth="1"/>
    <col min="13576" max="13576" width="16" style="402" customWidth="1"/>
    <col min="13577" max="13577" width="17.33203125" style="402" customWidth="1"/>
    <col min="13578" max="13579" width="0" style="402" hidden="1" customWidth="1"/>
    <col min="13580" max="13580" width="12.6640625" style="402" customWidth="1"/>
    <col min="13581" max="13824" width="11.44140625" style="402"/>
    <col min="13825" max="13825" width="6.88671875" style="402" customWidth="1"/>
    <col min="13826" max="13826" width="35.88671875" style="402" customWidth="1"/>
    <col min="13827" max="13827" width="26.6640625" style="402" customWidth="1"/>
    <col min="13828" max="13828" width="32" style="402" customWidth="1"/>
    <col min="13829" max="13829" width="41.109375" style="402" customWidth="1"/>
    <col min="13830" max="13830" width="14.33203125" style="402" customWidth="1"/>
    <col min="13831" max="13831" width="16.6640625" style="402" customWidth="1"/>
    <col min="13832" max="13832" width="16" style="402" customWidth="1"/>
    <col min="13833" max="13833" width="17.33203125" style="402" customWidth="1"/>
    <col min="13834" max="13835" width="0" style="402" hidden="1" customWidth="1"/>
    <col min="13836" max="13836" width="12.6640625" style="402" customWidth="1"/>
    <col min="13837" max="14080" width="11.44140625" style="402"/>
    <col min="14081" max="14081" width="6.88671875" style="402" customWidth="1"/>
    <col min="14082" max="14082" width="35.88671875" style="402" customWidth="1"/>
    <col min="14083" max="14083" width="26.6640625" style="402" customWidth="1"/>
    <col min="14084" max="14084" width="32" style="402" customWidth="1"/>
    <col min="14085" max="14085" width="41.109375" style="402" customWidth="1"/>
    <col min="14086" max="14086" width="14.33203125" style="402" customWidth="1"/>
    <col min="14087" max="14087" width="16.6640625" style="402" customWidth="1"/>
    <col min="14088" max="14088" width="16" style="402" customWidth="1"/>
    <col min="14089" max="14089" width="17.33203125" style="402" customWidth="1"/>
    <col min="14090" max="14091" width="0" style="402" hidden="1" customWidth="1"/>
    <col min="14092" max="14092" width="12.6640625" style="402" customWidth="1"/>
    <col min="14093" max="14336" width="11.44140625" style="402"/>
    <col min="14337" max="14337" width="6.88671875" style="402" customWidth="1"/>
    <col min="14338" max="14338" width="35.88671875" style="402" customWidth="1"/>
    <col min="14339" max="14339" width="26.6640625" style="402" customWidth="1"/>
    <col min="14340" max="14340" width="32" style="402" customWidth="1"/>
    <col min="14341" max="14341" width="41.109375" style="402" customWidth="1"/>
    <col min="14342" max="14342" width="14.33203125" style="402" customWidth="1"/>
    <col min="14343" max="14343" width="16.6640625" style="402" customWidth="1"/>
    <col min="14344" max="14344" width="16" style="402" customWidth="1"/>
    <col min="14345" max="14345" width="17.33203125" style="402" customWidth="1"/>
    <col min="14346" max="14347" width="0" style="402" hidden="1" customWidth="1"/>
    <col min="14348" max="14348" width="12.6640625" style="402" customWidth="1"/>
    <col min="14349" max="14592" width="11.44140625" style="402"/>
    <col min="14593" max="14593" width="6.88671875" style="402" customWidth="1"/>
    <col min="14594" max="14594" width="35.88671875" style="402" customWidth="1"/>
    <col min="14595" max="14595" width="26.6640625" style="402" customWidth="1"/>
    <col min="14596" max="14596" width="32" style="402" customWidth="1"/>
    <col min="14597" max="14597" width="41.109375" style="402" customWidth="1"/>
    <col min="14598" max="14598" width="14.33203125" style="402" customWidth="1"/>
    <col min="14599" max="14599" width="16.6640625" style="402" customWidth="1"/>
    <col min="14600" max="14600" width="16" style="402" customWidth="1"/>
    <col min="14601" max="14601" width="17.33203125" style="402" customWidth="1"/>
    <col min="14602" max="14603" width="0" style="402" hidden="1" customWidth="1"/>
    <col min="14604" max="14604" width="12.6640625" style="402" customWidth="1"/>
    <col min="14605" max="14848" width="11.44140625" style="402"/>
    <col min="14849" max="14849" width="6.88671875" style="402" customWidth="1"/>
    <col min="14850" max="14850" width="35.88671875" style="402" customWidth="1"/>
    <col min="14851" max="14851" width="26.6640625" style="402" customWidth="1"/>
    <col min="14852" max="14852" width="32" style="402" customWidth="1"/>
    <col min="14853" max="14853" width="41.109375" style="402" customWidth="1"/>
    <col min="14854" max="14854" width="14.33203125" style="402" customWidth="1"/>
    <col min="14855" max="14855" width="16.6640625" style="402" customWidth="1"/>
    <col min="14856" max="14856" width="16" style="402" customWidth="1"/>
    <col min="14857" max="14857" width="17.33203125" style="402" customWidth="1"/>
    <col min="14858" max="14859" width="0" style="402" hidden="1" customWidth="1"/>
    <col min="14860" max="14860" width="12.6640625" style="402" customWidth="1"/>
    <col min="14861" max="15104" width="11.44140625" style="402"/>
    <col min="15105" max="15105" width="6.88671875" style="402" customWidth="1"/>
    <col min="15106" max="15106" width="35.88671875" style="402" customWidth="1"/>
    <col min="15107" max="15107" width="26.6640625" style="402" customWidth="1"/>
    <col min="15108" max="15108" width="32" style="402" customWidth="1"/>
    <col min="15109" max="15109" width="41.109375" style="402" customWidth="1"/>
    <col min="15110" max="15110" width="14.33203125" style="402" customWidth="1"/>
    <col min="15111" max="15111" width="16.6640625" style="402" customWidth="1"/>
    <col min="15112" max="15112" width="16" style="402" customWidth="1"/>
    <col min="15113" max="15113" width="17.33203125" style="402" customWidth="1"/>
    <col min="15114" max="15115" width="0" style="402" hidden="1" customWidth="1"/>
    <col min="15116" max="15116" width="12.6640625" style="402" customWidth="1"/>
    <col min="15117" max="15360" width="11.44140625" style="402"/>
    <col min="15361" max="15361" width="6.88671875" style="402" customWidth="1"/>
    <col min="15362" max="15362" width="35.88671875" style="402" customWidth="1"/>
    <col min="15363" max="15363" width="26.6640625" style="402" customWidth="1"/>
    <col min="15364" max="15364" width="32" style="402" customWidth="1"/>
    <col min="15365" max="15365" width="41.109375" style="402" customWidth="1"/>
    <col min="15366" max="15366" width="14.33203125" style="402" customWidth="1"/>
    <col min="15367" max="15367" width="16.6640625" style="402" customWidth="1"/>
    <col min="15368" max="15368" width="16" style="402" customWidth="1"/>
    <col min="15369" max="15369" width="17.33203125" style="402" customWidth="1"/>
    <col min="15370" max="15371" width="0" style="402" hidden="1" customWidth="1"/>
    <col min="15372" max="15372" width="12.6640625" style="402" customWidth="1"/>
    <col min="15373" max="15616" width="11.44140625" style="402"/>
    <col min="15617" max="15617" width="6.88671875" style="402" customWidth="1"/>
    <col min="15618" max="15618" width="35.88671875" style="402" customWidth="1"/>
    <col min="15619" max="15619" width="26.6640625" style="402" customWidth="1"/>
    <col min="15620" max="15620" width="32" style="402" customWidth="1"/>
    <col min="15621" max="15621" width="41.109375" style="402" customWidth="1"/>
    <col min="15622" max="15622" width="14.33203125" style="402" customWidth="1"/>
    <col min="15623" max="15623" width="16.6640625" style="402" customWidth="1"/>
    <col min="15624" max="15624" width="16" style="402" customWidth="1"/>
    <col min="15625" max="15625" width="17.33203125" style="402" customWidth="1"/>
    <col min="15626" max="15627" width="0" style="402" hidden="1" customWidth="1"/>
    <col min="15628" max="15628" width="12.6640625" style="402" customWidth="1"/>
    <col min="15629" max="15872" width="11.44140625" style="402"/>
    <col min="15873" max="15873" width="6.88671875" style="402" customWidth="1"/>
    <col min="15874" max="15874" width="35.88671875" style="402" customWidth="1"/>
    <col min="15875" max="15875" width="26.6640625" style="402" customWidth="1"/>
    <col min="15876" max="15876" width="32" style="402" customWidth="1"/>
    <col min="15877" max="15877" width="41.109375" style="402" customWidth="1"/>
    <col min="15878" max="15878" width="14.33203125" style="402" customWidth="1"/>
    <col min="15879" max="15879" width="16.6640625" style="402" customWidth="1"/>
    <col min="15880" max="15880" width="16" style="402" customWidth="1"/>
    <col min="15881" max="15881" width="17.33203125" style="402" customWidth="1"/>
    <col min="15882" max="15883" width="0" style="402" hidden="1" customWidth="1"/>
    <col min="15884" max="15884" width="12.6640625" style="402" customWidth="1"/>
    <col min="15885" max="16128" width="11.44140625" style="402"/>
    <col min="16129" max="16129" width="6.88671875" style="402" customWidth="1"/>
    <col min="16130" max="16130" width="35.88671875" style="402" customWidth="1"/>
    <col min="16131" max="16131" width="26.6640625" style="402" customWidth="1"/>
    <col min="16132" max="16132" width="32" style="402" customWidth="1"/>
    <col min="16133" max="16133" width="41.109375" style="402" customWidth="1"/>
    <col min="16134" max="16134" width="14.33203125" style="402" customWidth="1"/>
    <col min="16135" max="16135" width="16.6640625" style="402" customWidth="1"/>
    <col min="16136" max="16136" width="16" style="402" customWidth="1"/>
    <col min="16137" max="16137" width="17.33203125" style="402" customWidth="1"/>
    <col min="16138" max="16139" width="0" style="402" hidden="1" customWidth="1"/>
    <col min="16140" max="16140" width="12.6640625" style="402" customWidth="1"/>
    <col min="16141" max="16384" width="11.44140625" style="402"/>
  </cols>
  <sheetData>
    <row r="1" spans="1:14" ht="20.399999999999999" x14ac:dyDescent="0.3">
      <c r="A1" s="474" t="s">
        <v>778</v>
      </c>
      <c r="B1" s="474"/>
      <c r="C1" s="474"/>
      <c r="D1" s="474"/>
      <c r="E1" s="474"/>
      <c r="F1" s="474"/>
      <c r="G1" s="474"/>
      <c r="H1" s="474"/>
      <c r="I1" s="474"/>
      <c r="J1" s="474"/>
      <c r="K1" s="474"/>
      <c r="L1" s="474"/>
    </row>
    <row r="2" spans="1:14" x14ac:dyDescent="0.3">
      <c r="H2" s="455" t="s">
        <v>758</v>
      </c>
      <c r="I2" s="455"/>
      <c r="J2" s="455"/>
      <c r="K2" s="455"/>
      <c r="L2" s="455"/>
    </row>
    <row r="3" spans="1:14" ht="39" customHeight="1" x14ac:dyDescent="0.3">
      <c r="A3" s="351" t="s">
        <v>0</v>
      </c>
      <c r="B3" s="351" t="s">
        <v>759</v>
      </c>
      <c r="C3" s="351" t="s">
        <v>20</v>
      </c>
      <c r="D3" s="351" t="s">
        <v>574</v>
      </c>
      <c r="E3" s="351" t="s">
        <v>544</v>
      </c>
      <c r="F3" s="351" t="s">
        <v>217</v>
      </c>
      <c r="G3" s="351" t="s">
        <v>590</v>
      </c>
      <c r="H3" s="351" t="s">
        <v>760</v>
      </c>
      <c r="I3" s="351" t="s">
        <v>219</v>
      </c>
      <c r="J3" s="353" t="s">
        <v>579</v>
      </c>
      <c r="K3" s="351" t="s">
        <v>584</v>
      </c>
      <c r="L3" s="351" t="s">
        <v>221</v>
      </c>
    </row>
    <row r="4" spans="1:14" s="350" customFormat="1" ht="247.5" customHeight="1" x14ac:dyDescent="0.3">
      <c r="A4" s="4">
        <v>1</v>
      </c>
      <c r="B4" s="410" t="s">
        <v>761</v>
      </c>
      <c r="C4" s="325" t="s">
        <v>774</v>
      </c>
      <c r="D4" s="325" t="s">
        <v>776</v>
      </c>
      <c r="E4" s="382" t="s">
        <v>775</v>
      </c>
      <c r="F4" s="12" t="s">
        <v>762</v>
      </c>
      <c r="G4" s="411">
        <v>55000</v>
      </c>
      <c r="H4" s="411">
        <f>+G4+12000</f>
        <v>67000</v>
      </c>
      <c r="I4" s="325" t="s">
        <v>777</v>
      </c>
      <c r="J4" s="4" t="s">
        <v>659</v>
      </c>
      <c r="K4" s="68" t="s">
        <v>647</v>
      </c>
      <c r="L4" s="68"/>
      <c r="N4" s="412"/>
    </row>
    <row r="5" spans="1:14" s="354" customFormat="1" ht="21" customHeight="1" x14ac:dyDescent="0.3">
      <c r="A5" s="456" t="s">
        <v>19</v>
      </c>
      <c r="B5" s="456"/>
      <c r="C5" s="456"/>
      <c r="D5" s="456"/>
      <c r="E5" s="456"/>
      <c r="F5" s="456"/>
      <c r="G5" s="357">
        <f>+G4</f>
        <v>55000</v>
      </c>
      <c r="H5" s="357">
        <f>+H4</f>
        <v>67000</v>
      </c>
      <c r="I5" s="353"/>
      <c r="J5" s="353"/>
      <c r="K5" s="353"/>
      <c r="L5" s="352"/>
    </row>
    <row r="10" spans="1:14" x14ac:dyDescent="0.3">
      <c r="H10" s="405"/>
    </row>
    <row r="11" spans="1:14" x14ac:dyDescent="0.3">
      <c r="H11" s="406"/>
      <c r="J11" s="406"/>
    </row>
    <row r="12" spans="1:14" x14ac:dyDescent="0.3">
      <c r="I12" s="407"/>
    </row>
    <row r="14" spans="1:14" x14ac:dyDescent="0.3">
      <c r="I14" s="406"/>
    </row>
    <row r="16" spans="1:14" x14ac:dyDescent="0.3">
      <c r="H16" s="406"/>
    </row>
  </sheetData>
  <mergeCells count="3">
    <mergeCell ref="A1:L1"/>
    <mergeCell ref="H2:L2"/>
    <mergeCell ref="A5:F5"/>
  </mergeCells>
  <pageMargins left="0.23" right="0.24" top="0.56000000000000005" bottom="0.43" header="0.3" footer="0.3"/>
  <pageSetup paperSize="9" scale="7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H20"/>
  <sheetViews>
    <sheetView topLeftCell="A10" workbookViewId="0">
      <selection activeCell="E13" sqref="A1:IV65536"/>
    </sheetView>
  </sheetViews>
  <sheetFormatPr defaultColWidth="9.109375" defaultRowHeight="13.8" x14ac:dyDescent="0.25"/>
  <cols>
    <col min="1" max="1" width="5.109375" style="366" bestFit="1" customWidth="1"/>
    <col min="2" max="2" width="37.33203125" style="36" customWidth="1"/>
    <col min="3" max="3" width="7.44140625" style="367" bestFit="1" customWidth="1"/>
    <col min="4" max="4" width="28" style="35" customWidth="1"/>
    <col min="5" max="5" width="12.109375" style="366" customWidth="1"/>
    <col min="6" max="6" width="24.44140625" style="368" customWidth="1"/>
    <col min="7" max="7" width="24.6640625" style="36" customWidth="1"/>
    <col min="8" max="16384" width="9.109375" style="35"/>
  </cols>
  <sheetData>
    <row r="1" spans="1:8" s="365" customFormat="1" x14ac:dyDescent="0.25">
      <c r="A1" s="475" t="s">
        <v>660</v>
      </c>
      <c r="B1" s="475"/>
      <c r="C1" s="475"/>
      <c r="D1" s="475"/>
      <c r="E1" s="475"/>
      <c r="F1" s="475"/>
      <c r="G1" s="475"/>
      <c r="H1" s="475"/>
    </row>
    <row r="2" spans="1:8" s="365" customFormat="1" x14ac:dyDescent="0.25">
      <c r="A2" s="476" t="s">
        <v>661</v>
      </c>
      <c r="B2" s="476"/>
      <c r="C2" s="476"/>
      <c r="D2" s="476"/>
      <c r="E2" s="476"/>
      <c r="F2" s="476"/>
      <c r="G2" s="476"/>
      <c r="H2" s="476"/>
    </row>
    <row r="3" spans="1:8" x14ac:dyDescent="0.25">
      <c r="G3" s="477" t="s">
        <v>662</v>
      </c>
      <c r="H3" s="477"/>
    </row>
    <row r="4" spans="1:8" s="371" customFormat="1" ht="27.6" x14ac:dyDescent="0.3">
      <c r="A4" s="23" t="s">
        <v>663</v>
      </c>
      <c r="B4" s="23" t="s">
        <v>20</v>
      </c>
      <c r="C4" s="369" t="s">
        <v>644</v>
      </c>
      <c r="D4" s="23" t="s">
        <v>216</v>
      </c>
      <c r="E4" s="24" t="s">
        <v>584</v>
      </c>
      <c r="F4" s="370" t="s">
        <v>664</v>
      </c>
      <c r="G4" s="24" t="s">
        <v>665</v>
      </c>
      <c r="H4" s="23" t="s">
        <v>221</v>
      </c>
    </row>
    <row r="5" spans="1:8" ht="41.4" x14ac:dyDescent="0.25">
      <c r="A5" s="372">
        <v>1</v>
      </c>
      <c r="B5" s="299" t="s">
        <v>666</v>
      </c>
      <c r="C5" s="373">
        <v>1300</v>
      </c>
      <c r="D5" s="297" t="s">
        <v>667</v>
      </c>
      <c r="E5" s="374" t="s">
        <v>647</v>
      </c>
      <c r="F5" s="375" t="s">
        <v>668</v>
      </c>
      <c r="G5" s="299" t="s">
        <v>669</v>
      </c>
      <c r="H5" s="376"/>
    </row>
    <row r="6" spans="1:8" ht="82.8" x14ac:dyDescent="0.25">
      <c r="A6" s="372">
        <v>2</v>
      </c>
      <c r="B6" s="299" t="s">
        <v>670</v>
      </c>
      <c r="C6" s="373">
        <v>14900</v>
      </c>
      <c r="D6" s="297" t="s">
        <v>671</v>
      </c>
      <c r="E6" s="374" t="s">
        <v>647</v>
      </c>
      <c r="F6" s="375" t="s">
        <v>672</v>
      </c>
      <c r="G6" s="299" t="s">
        <v>673</v>
      </c>
      <c r="H6" s="376"/>
    </row>
    <row r="7" spans="1:8" ht="96.6" x14ac:dyDescent="0.25">
      <c r="A7" s="372">
        <v>3</v>
      </c>
      <c r="B7" s="299" t="s">
        <v>674</v>
      </c>
      <c r="C7" s="373">
        <v>9119</v>
      </c>
      <c r="D7" s="297" t="s">
        <v>675</v>
      </c>
      <c r="E7" s="374" t="s">
        <v>653</v>
      </c>
      <c r="F7" s="375" t="s">
        <v>672</v>
      </c>
      <c r="G7" s="299" t="s">
        <v>676</v>
      </c>
      <c r="H7" s="376"/>
    </row>
    <row r="8" spans="1:8" ht="110.4" x14ac:dyDescent="0.25">
      <c r="A8" s="372">
        <v>4</v>
      </c>
      <c r="B8" s="299" t="s">
        <v>677</v>
      </c>
      <c r="C8" s="373">
        <v>21900</v>
      </c>
      <c r="D8" s="297" t="s">
        <v>678</v>
      </c>
      <c r="E8" s="374" t="s">
        <v>647</v>
      </c>
      <c r="F8" s="375" t="s">
        <v>679</v>
      </c>
      <c r="G8" s="299" t="s">
        <v>680</v>
      </c>
      <c r="H8" s="376"/>
    </row>
    <row r="9" spans="1:8" ht="110.4" x14ac:dyDescent="0.25">
      <c r="A9" s="372">
        <v>5</v>
      </c>
      <c r="B9" s="299" t="s">
        <v>681</v>
      </c>
      <c r="C9" s="373">
        <v>25100</v>
      </c>
      <c r="D9" s="297" t="s">
        <v>682</v>
      </c>
      <c r="E9" s="374" t="s">
        <v>647</v>
      </c>
      <c r="F9" s="375" t="s">
        <v>683</v>
      </c>
      <c r="G9" s="299" t="s">
        <v>680</v>
      </c>
      <c r="H9" s="376"/>
    </row>
    <row r="10" spans="1:8" ht="96.6" x14ac:dyDescent="0.25">
      <c r="A10" s="372">
        <v>6</v>
      </c>
      <c r="B10" s="299" t="s">
        <v>684</v>
      </c>
      <c r="C10" s="373">
        <v>15700</v>
      </c>
      <c r="D10" s="297" t="s">
        <v>685</v>
      </c>
      <c r="E10" s="374" t="s">
        <v>647</v>
      </c>
      <c r="F10" s="375" t="s">
        <v>686</v>
      </c>
      <c r="G10" s="299" t="s">
        <v>680</v>
      </c>
      <c r="H10" s="376"/>
    </row>
    <row r="11" spans="1:8" ht="151.80000000000001" x14ac:dyDescent="0.25">
      <c r="A11" s="372">
        <v>7</v>
      </c>
      <c r="B11" s="299" t="s">
        <v>687</v>
      </c>
      <c r="C11" s="373">
        <v>135000</v>
      </c>
      <c r="D11" s="297" t="s">
        <v>688</v>
      </c>
      <c r="E11" s="374" t="s">
        <v>317</v>
      </c>
      <c r="F11" s="375" t="s">
        <v>689</v>
      </c>
      <c r="G11" s="299" t="s">
        <v>690</v>
      </c>
      <c r="H11" s="376"/>
    </row>
    <row r="12" spans="1:8" x14ac:dyDescent="0.25">
      <c r="B12" s="377"/>
      <c r="C12" s="378"/>
      <c r="D12" s="34"/>
      <c r="E12" s="379"/>
    </row>
    <row r="13" spans="1:8" x14ac:dyDescent="0.25">
      <c r="B13" s="377"/>
      <c r="C13" s="378"/>
      <c r="D13" s="34"/>
      <c r="E13" s="379"/>
    </row>
    <row r="14" spans="1:8" x14ac:dyDescent="0.25">
      <c r="B14" s="377"/>
      <c r="C14" s="378"/>
      <c r="D14" s="34"/>
      <c r="E14" s="379"/>
    </row>
    <row r="15" spans="1:8" x14ac:dyDescent="0.25">
      <c r="B15" s="377"/>
      <c r="C15" s="378"/>
      <c r="D15" s="34"/>
      <c r="E15" s="379"/>
    </row>
    <row r="16" spans="1:8" x14ac:dyDescent="0.25">
      <c r="B16" s="377"/>
      <c r="C16" s="378"/>
      <c r="D16" s="34"/>
      <c r="E16" s="379"/>
    </row>
    <row r="17" spans="2:5" x14ac:dyDescent="0.25">
      <c r="B17" s="377"/>
      <c r="C17" s="378"/>
      <c r="D17" s="34"/>
      <c r="E17" s="379"/>
    </row>
    <row r="18" spans="2:5" x14ac:dyDescent="0.25">
      <c r="B18" s="377"/>
      <c r="C18" s="378"/>
      <c r="D18" s="34"/>
      <c r="E18" s="379"/>
    </row>
    <row r="19" spans="2:5" x14ac:dyDescent="0.25">
      <c r="B19" s="377"/>
      <c r="C19" s="378"/>
      <c r="D19" s="34"/>
      <c r="E19" s="379"/>
    </row>
    <row r="20" spans="2:5" x14ac:dyDescent="0.25">
      <c r="B20" s="377"/>
      <c r="C20" s="378"/>
      <c r="D20" s="34"/>
      <c r="E20" s="379"/>
    </row>
  </sheetData>
  <mergeCells count="3">
    <mergeCell ref="A1:H1"/>
    <mergeCell ref="A2:H2"/>
    <mergeCell ref="G3:H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28"/>
  <sheetViews>
    <sheetView workbookViewId="0">
      <pane ySplit="3" topLeftCell="A4" activePane="bottomLeft" state="frozen"/>
      <selection pane="bottomLeft" activeCell="E7" sqref="E7"/>
    </sheetView>
  </sheetViews>
  <sheetFormatPr defaultColWidth="9.109375" defaultRowHeight="15.6" x14ac:dyDescent="0.3"/>
  <cols>
    <col min="1" max="1" width="4.109375" style="8" customWidth="1"/>
    <col min="2" max="2" width="11" style="8" customWidth="1"/>
    <col min="3" max="3" width="46.109375" style="1" customWidth="1"/>
    <col min="4" max="5" width="10.109375" style="8" customWidth="1"/>
    <col min="6" max="6" width="10.44140625" style="20" bestFit="1" customWidth="1"/>
    <col min="7" max="7" width="9.44140625" style="20" hidden="1" customWidth="1"/>
    <col min="8" max="8" width="25.109375" style="16" hidden="1" customWidth="1"/>
    <col min="9" max="9" width="17" style="16" hidden="1" customWidth="1"/>
    <col min="10" max="10" width="52.109375" style="16" hidden="1" customWidth="1"/>
    <col min="11" max="11" width="13.44140625" style="35" customWidth="1"/>
    <col min="12" max="12" width="9" style="35" bestFit="1" customWidth="1"/>
    <col min="13" max="13" width="13.44140625" style="35" customWidth="1"/>
    <col min="14" max="14" width="9.88671875" style="35" customWidth="1"/>
    <col min="15" max="15" width="13.44140625" style="35" customWidth="1"/>
    <col min="16" max="16" width="9.88671875" style="35" customWidth="1"/>
    <col min="17" max="17" width="14.6640625" style="35" customWidth="1"/>
    <col min="18" max="18" width="11" style="35" customWidth="1"/>
    <col min="19" max="19" width="14.6640625" style="35" customWidth="1"/>
    <col min="20" max="20" width="11" style="35" customWidth="1"/>
    <col min="21" max="21" width="14.6640625" style="35" customWidth="1"/>
    <col min="22" max="22" width="11" style="35" customWidth="1"/>
    <col min="23" max="23" width="9.109375" style="35"/>
    <col min="24" max="16384" width="9.109375" style="1"/>
  </cols>
  <sheetData>
    <row r="1" spans="1:23" s="15" customFormat="1" ht="33" customHeight="1" x14ac:dyDescent="0.3">
      <c r="A1" s="424" t="s">
        <v>152</v>
      </c>
      <c r="B1" s="424"/>
      <c r="C1" s="424"/>
      <c r="D1" s="424"/>
      <c r="E1" s="424"/>
      <c r="F1" s="424"/>
      <c r="G1" s="424"/>
      <c r="H1" s="424"/>
      <c r="I1" s="424"/>
      <c r="J1" s="57"/>
      <c r="K1" s="34"/>
      <c r="L1" s="34"/>
      <c r="M1" s="34"/>
      <c r="N1" s="34"/>
      <c r="O1" s="34"/>
      <c r="P1" s="34"/>
      <c r="Q1" s="34"/>
      <c r="R1" s="34"/>
      <c r="S1" s="34"/>
      <c r="T1" s="34"/>
      <c r="U1" s="34"/>
      <c r="V1" s="34"/>
      <c r="W1" s="34"/>
    </row>
    <row r="2" spans="1:23" x14ac:dyDescent="0.3">
      <c r="A2" s="423"/>
      <c r="B2" s="423"/>
      <c r="C2" s="423"/>
      <c r="D2" s="423"/>
      <c r="E2" s="423"/>
      <c r="F2" s="423"/>
      <c r="G2" s="423"/>
      <c r="H2" s="423"/>
      <c r="I2" s="30"/>
      <c r="J2" s="30"/>
    </row>
    <row r="3" spans="1:23" s="2" customFormat="1" ht="62.25" customHeight="1" x14ac:dyDescent="0.3">
      <c r="A3" s="23" t="s">
        <v>0</v>
      </c>
      <c r="B3" s="23"/>
      <c r="C3" s="23" t="s">
        <v>20</v>
      </c>
      <c r="D3" s="11" t="s">
        <v>211</v>
      </c>
      <c r="E3" s="11" t="s">
        <v>212</v>
      </c>
      <c r="F3" s="24" t="s">
        <v>122</v>
      </c>
      <c r="G3" s="24" t="s">
        <v>159</v>
      </c>
      <c r="H3" s="24" t="s">
        <v>146</v>
      </c>
      <c r="I3" s="24"/>
      <c r="J3" s="24"/>
      <c r="K3" s="425" t="s">
        <v>153</v>
      </c>
      <c r="L3" s="425"/>
      <c r="M3" s="425" t="s">
        <v>155</v>
      </c>
      <c r="N3" s="425"/>
      <c r="O3" s="425" t="s">
        <v>156</v>
      </c>
      <c r="P3" s="425"/>
      <c r="Q3" s="425" t="s">
        <v>172</v>
      </c>
      <c r="R3" s="425"/>
      <c r="S3" s="425" t="s">
        <v>157</v>
      </c>
      <c r="T3" s="425"/>
      <c r="U3" s="425" t="s">
        <v>158</v>
      </c>
      <c r="V3" s="425"/>
      <c r="W3" s="36"/>
    </row>
    <row r="4" spans="1:23" s="2" customFormat="1" x14ac:dyDescent="0.3">
      <c r="A4" s="25">
        <v>1</v>
      </c>
      <c r="B4" s="25"/>
      <c r="C4" s="25">
        <f>A4+1</f>
        <v>2</v>
      </c>
      <c r="D4" s="25"/>
      <c r="E4" s="25"/>
      <c r="F4" s="25">
        <f>C4+1</f>
        <v>3</v>
      </c>
      <c r="G4" s="25"/>
      <c r="H4" s="25">
        <f>F4+1</f>
        <v>4</v>
      </c>
      <c r="I4" s="25">
        <f>H4+1</f>
        <v>5</v>
      </c>
      <c r="J4" s="25"/>
      <c r="K4" s="38"/>
      <c r="L4" s="38"/>
      <c r="M4" s="38"/>
      <c r="N4" s="38"/>
      <c r="O4" s="38"/>
      <c r="P4" s="38"/>
      <c r="Q4" s="38"/>
      <c r="R4" s="38"/>
      <c r="S4" s="38"/>
      <c r="T4" s="38"/>
      <c r="U4" s="38"/>
      <c r="V4" s="38"/>
      <c r="W4" s="36"/>
    </row>
    <row r="5" spans="1:23" s="45" customFormat="1" ht="42" customHeight="1" x14ac:dyDescent="0.3">
      <c r="A5" s="39">
        <v>1</v>
      </c>
      <c r="B5" s="39" t="s">
        <v>196</v>
      </c>
      <c r="C5" s="40" t="s">
        <v>1</v>
      </c>
      <c r="D5" s="41">
        <f>4642/10000</f>
        <v>0.4642</v>
      </c>
      <c r="E5" s="41"/>
      <c r="F5" s="42">
        <v>3220</v>
      </c>
      <c r="G5" s="42" t="s">
        <v>161</v>
      </c>
      <c r="H5" s="43" t="s">
        <v>173</v>
      </c>
      <c r="I5" s="43" t="s">
        <v>181</v>
      </c>
      <c r="J5" s="58"/>
      <c r="K5" s="50">
        <v>6687</v>
      </c>
      <c r="L5" s="51" t="s">
        <v>171</v>
      </c>
      <c r="M5" s="50">
        <v>993</v>
      </c>
      <c r="N5" s="52" t="s">
        <v>178</v>
      </c>
      <c r="O5" s="50">
        <v>1011</v>
      </c>
      <c r="P5" s="52" t="s">
        <v>178</v>
      </c>
      <c r="Q5" s="50"/>
      <c r="R5" s="52"/>
      <c r="S5" s="50"/>
      <c r="T5" s="52"/>
      <c r="U5" s="50"/>
      <c r="V5" s="52"/>
      <c r="W5" s="44"/>
    </row>
    <row r="6" spans="1:23" s="45" customFormat="1" ht="33" customHeight="1" x14ac:dyDescent="0.3">
      <c r="A6" s="39">
        <f>+A5+1</f>
        <v>2</v>
      </c>
      <c r="B6" s="39" t="s">
        <v>196</v>
      </c>
      <c r="C6" s="40" t="s">
        <v>2</v>
      </c>
      <c r="D6" s="41">
        <f>2.46-D5</f>
        <v>1.9958</v>
      </c>
      <c r="E6" s="41"/>
      <c r="F6" s="42">
        <v>19050</v>
      </c>
      <c r="G6" s="42" t="s">
        <v>161</v>
      </c>
      <c r="H6" s="43" t="str">
        <f>+H5</f>
        <v>Công ty CP TV XD và TM THN Việt Nam (Anh Tuấn)</v>
      </c>
      <c r="I6" s="43" t="s">
        <v>182</v>
      </c>
      <c r="J6" s="58"/>
      <c r="K6" s="50">
        <v>6687</v>
      </c>
      <c r="L6" s="51" t="s">
        <v>171</v>
      </c>
      <c r="M6" s="50">
        <v>997</v>
      </c>
      <c r="N6" s="52" t="s">
        <v>178</v>
      </c>
      <c r="O6" s="50">
        <v>1015</v>
      </c>
      <c r="P6" s="52" t="s">
        <v>178</v>
      </c>
      <c r="Q6" s="50"/>
      <c r="R6" s="52"/>
      <c r="S6" s="50"/>
      <c r="T6" s="52"/>
      <c r="U6" s="50"/>
      <c r="V6" s="52"/>
      <c r="W6" s="44"/>
    </row>
    <row r="7" spans="1:23" s="45" customFormat="1" ht="33" customHeight="1" x14ac:dyDescent="0.3">
      <c r="A7" s="39">
        <f t="shared" ref="A7:A22" si="0">+A6+1</f>
        <v>3</v>
      </c>
      <c r="B7" s="39" t="s">
        <v>197</v>
      </c>
      <c r="C7" s="40" t="s">
        <v>3</v>
      </c>
      <c r="D7" s="41">
        <v>1.32</v>
      </c>
      <c r="E7" s="41"/>
      <c r="F7" s="42">
        <v>11120</v>
      </c>
      <c r="G7" s="42" t="s">
        <v>162</v>
      </c>
      <c r="H7" s="43" t="s">
        <v>174</v>
      </c>
      <c r="I7" s="43" t="s">
        <v>183</v>
      </c>
      <c r="J7" s="58"/>
      <c r="K7" s="50">
        <v>966</v>
      </c>
      <c r="L7" s="52" t="s">
        <v>154</v>
      </c>
      <c r="M7" s="50">
        <v>1007</v>
      </c>
      <c r="N7" s="52" t="s">
        <v>178</v>
      </c>
      <c r="O7" s="50">
        <v>1025</v>
      </c>
      <c r="P7" s="52" t="s">
        <v>178</v>
      </c>
      <c r="Q7" s="50"/>
      <c r="R7" s="52"/>
      <c r="S7" s="50"/>
      <c r="T7" s="52"/>
      <c r="U7" s="50"/>
      <c r="V7" s="52"/>
      <c r="W7" s="44"/>
    </row>
    <row r="8" spans="1:23" s="45" customFormat="1" ht="49.5" customHeight="1" x14ac:dyDescent="0.3">
      <c r="A8" s="39">
        <f t="shared" si="0"/>
        <v>4</v>
      </c>
      <c r="B8" s="39" t="s">
        <v>197</v>
      </c>
      <c r="C8" s="40" t="s">
        <v>4</v>
      </c>
      <c r="D8" s="46">
        <v>1.4937</v>
      </c>
      <c r="E8" s="46"/>
      <c r="F8" s="42">
        <v>12585</v>
      </c>
      <c r="G8" s="42" t="s">
        <v>163</v>
      </c>
      <c r="H8" s="43" t="s">
        <v>175</v>
      </c>
      <c r="I8" s="43" t="s">
        <v>183</v>
      </c>
      <c r="J8" s="58"/>
      <c r="K8" s="50">
        <v>967</v>
      </c>
      <c r="L8" s="52" t="s">
        <v>154</v>
      </c>
      <c r="M8" s="50">
        <v>995</v>
      </c>
      <c r="N8" s="52" t="s">
        <v>178</v>
      </c>
      <c r="O8" s="50">
        <v>1013</v>
      </c>
      <c r="P8" s="52" t="s">
        <v>178</v>
      </c>
      <c r="Q8" s="50"/>
      <c r="R8" s="52"/>
      <c r="S8" s="50"/>
      <c r="T8" s="52"/>
      <c r="U8" s="50"/>
      <c r="V8" s="52"/>
      <c r="W8" s="44"/>
    </row>
    <row r="9" spans="1:23" s="45" customFormat="1" ht="39" customHeight="1" x14ac:dyDescent="0.3">
      <c r="A9" s="39">
        <f t="shared" si="0"/>
        <v>5</v>
      </c>
      <c r="B9" s="39" t="s">
        <v>197</v>
      </c>
      <c r="C9" s="40" t="s">
        <v>5</v>
      </c>
      <c r="D9" s="41">
        <v>0.159</v>
      </c>
      <c r="E9" s="41"/>
      <c r="F9" s="42">
        <v>1344</v>
      </c>
      <c r="G9" s="43" t="s">
        <v>162</v>
      </c>
      <c r="H9" s="43" t="s">
        <v>176</v>
      </c>
      <c r="I9" s="43" t="s">
        <v>184</v>
      </c>
      <c r="J9" s="58"/>
      <c r="K9" s="50">
        <v>968</v>
      </c>
      <c r="L9" s="52" t="s">
        <v>154</v>
      </c>
      <c r="M9" s="50">
        <v>998</v>
      </c>
      <c r="N9" s="52" t="s">
        <v>178</v>
      </c>
      <c r="O9" s="50">
        <v>1016</v>
      </c>
      <c r="P9" s="52" t="s">
        <v>178</v>
      </c>
      <c r="Q9" s="50"/>
      <c r="R9" s="52"/>
      <c r="S9" s="50"/>
      <c r="T9" s="52"/>
      <c r="U9" s="50"/>
      <c r="V9" s="52"/>
      <c r="W9" s="44"/>
    </row>
    <row r="10" spans="1:23" s="45" customFormat="1" ht="39" customHeight="1" x14ac:dyDescent="0.3">
      <c r="A10" s="39">
        <f t="shared" si="0"/>
        <v>6</v>
      </c>
      <c r="B10" s="39" t="s">
        <v>198</v>
      </c>
      <c r="C10" s="40" t="s">
        <v>6</v>
      </c>
      <c r="D10" s="41">
        <v>1.2008000000000001</v>
      </c>
      <c r="E10" s="41"/>
      <c r="F10" s="42">
        <v>9516</v>
      </c>
      <c r="G10" s="43" t="s">
        <v>192</v>
      </c>
      <c r="H10" s="43" t="s">
        <v>177</v>
      </c>
      <c r="I10" s="43">
        <v>358</v>
      </c>
      <c r="J10" s="58"/>
      <c r="K10" s="50">
        <v>969</v>
      </c>
      <c r="L10" s="52" t="s">
        <v>154</v>
      </c>
      <c r="M10" s="50">
        <v>996</v>
      </c>
      <c r="N10" s="52" t="s">
        <v>178</v>
      </c>
      <c r="O10" s="50">
        <v>1014</v>
      </c>
      <c r="P10" s="52" t="s">
        <v>178</v>
      </c>
      <c r="Q10" s="50"/>
      <c r="R10" s="52"/>
      <c r="S10" s="50"/>
      <c r="T10" s="52"/>
      <c r="U10" s="50"/>
      <c r="V10" s="52"/>
      <c r="W10" s="44"/>
    </row>
    <row r="11" spans="1:23" s="29" customFormat="1" ht="34.5" customHeight="1" x14ac:dyDescent="0.3">
      <c r="A11" s="31">
        <f t="shared" si="0"/>
        <v>7</v>
      </c>
      <c r="B11" s="39" t="s">
        <v>199</v>
      </c>
      <c r="C11" s="26" t="s">
        <v>7</v>
      </c>
      <c r="D11" s="32">
        <v>1.2589999999999999</v>
      </c>
      <c r="E11" s="32"/>
      <c r="F11" s="27">
        <v>9348</v>
      </c>
      <c r="G11" s="43" t="s">
        <v>165</v>
      </c>
      <c r="H11" s="28" t="str">
        <f>+H9</f>
        <v>Công ty CP tư vấn xây dựng công trình 168</v>
      </c>
      <c r="I11" s="28"/>
      <c r="J11" s="28"/>
      <c r="K11" s="53">
        <v>970</v>
      </c>
      <c r="L11" s="54" t="s">
        <v>154</v>
      </c>
      <c r="M11" s="53">
        <v>1005</v>
      </c>
      <c r="N11" s="55" t="s">
        <v>178</v>
      </c>
      <c r="O11" s="53">
        <v>1023</v>
      </c>
      <c r="P11" s="55" t="s">
        <v>178</v>
      </c>
      <c r="Q11" s="53"/>
      <c r="R11" s="54"/>
      <c r="S11" s="53"/>
      <c r="T11" s="54"/>
      <c r="U11" s="53"/>
      <c r="V11" s="54"/>
      <c r="W11" s="37"/>
    </row>
    <row r="12" spans="1:23" s="67" customFormat="1" ht="49.5" customHeight="1" x14ac:dyDescent="0.3">
      <c r="A12" s="59">
        <f t="shared" si="0"/>
        <v>8</v>
      </c>
      <c r="B12" s="59" t="s">
        <v>200</v>
      </c>
      <c r="C12" s="60" t="s">
        <v>8</v>
      </c>
      <c r="D12" s="61">
        <v>2.6269999999999998</v>
      </c>
      <c r="E12" s="61"/>
      <c r="F12" s="62">
        <v>19505</v>
      </c>
      <c r="G12" s="62" t="s">
        <v>162</v>
      </c>
      <c r="H12" s="63" t="s">
        <v>191</v>
      </c>
      <c r="I12" s="63"/>
      <c r="J12" s="63"/>
      <c r="K12" s="64">
        <v>971</v>
      </c>
      <c r="L12" s="65" t="s">
        <v>154</v>
      </c>
      <c r="M12" s="64">
        <v>1009</v>
      </c>
      <c r="N12" s="65" t="s">
        <v>178</v>
      </c>
      <c r="O12" s="64">
        <v>1027</v>
      </c>
      <c r="P12" s="65" t="s">
        <v>178</v>
      </c>
      <c r="Q12" s="64"/>
      <c r="R12" s="65"/>
      <c r="S12" s="64"/>
      <c r="T12" s="65"/>
      <c r="U12" s="64"/>
      <c r="V12" s="65"/>
      <c r="W12" s="66"/>
    </row>
    <row r="13" spans="1:23" s="67" customFormat="1" ht="49.5" customHeight="1" x14ac:dyDescent="0.3">
      <c r="A13" s="59">
        <f t="shared" si="0"/>
        <v>9</v>
      </c>
      <c r="B13" s="59" t="s">
        <v>200</v>
      </c>
      <c r="C13" s="60" t="s">
        <v>9</v>
      </c>
      <c r="D13" s="61">
        <v>1.2282</v>
      </c>
      <c r="E13" s="61"/>
      <c r="F13" s="62">
        <v>9199</v>
      </c>
      <c r="G13" s="62" t="s">
        <v>160</v>
      </c>
      <c r="H13" s="63"/>
      <c r="I13" s="63"/>
      <c r="J13" s="63"/>
      <c r="K13" s="64">
        <v>972</v>
      </c>
      <c r="L13" s="65" t="s">
        <v>154</v>
      </c>
      <c r="M13" s="64">
        <v>1008</v>
      </c>
      <c r="N13" s="65" t="s">
        <v>178</v>
      </c>
      <c r="O13" s="64">
        <v>1026</v>
      </c>
      <c r="P13" s="65" t="s">
        <v>178</v>
      </c>
      <c r="Q13" s="64"/>
      <c r="R13" s="65"/>
      <c r="S13" s="64"/>
      <c r="T13" s="65"/>
      <c r="U13" s="64"/>
      <c r="V13" s="65"/>
      <c r="W13" s="66"/>
    </row>
    <row r="14" spans="1:23" s="45" customFormat="1" ht="35.25" customHeight="1" x14ac:dyDescent="0.3">
      <c r="A14" s="39">
        <f t="shared" si="0"/>
        <v>10</v>
      </c>
      <c r="B14" s="39" t="s">
        <v>198</v>
      </c>
      <c r="C14" s="40" t="s">
        <v>10</v>
      </c>
      <c r="D14" s="41">
        <v>0.27</v>
      </c>
      <c r="E14" s="41"/>
      <c r="F14" s="42">
        <v>1601</v>
      </c>
      <c r="G14" s="42" t="s">
        <v>166</v>
      </c>
      <c r="H14" s="43" t="str">
        <f>+H10</f>
        <v>Công ty CP tư vấn và xây dựng Châu Anh</v>
      </c>
      <c r="I14" s="43" t="s">
        <v>185</v>
      </c>
      <c r="J14" s="43"/>
      <c r="K14" s="50">
        <v>973</v>
      </c>
      <c r="L14" s="52" t="s">
        <v>154</v>
      </c>
      <c r="M14" s="50">
        <v>1006</v>
      </c>
      <c r="N14" s="52" t="s">
        <v>178</v>
      </c>
      <c r="O14" s="50">
        <v>1024</v>
      </c>
      <c r="P14" s="52" t="s">
        <v>178</v>
      </c>
      <c r="Q14" s="50"/>
      <c r="R14" s="52"/>
      <c r="S14" s="50"/>
      <c r="T14" s="52"/>
      <c r="U14" s="50"/>
      <c r="V14" s="52"/>
      <c r="W14" s="44"/>
    </row>
    <row r="15" spans="1:23" s="45" customFormat="1" ht="36.75" customHeight="1" x14ac:dyDescent="0.3">
      <c r="A15" s="39">
        <f t="shared" si="0"/>
        <v>11</v>
      </c>
      <c r="B15" s="39" t="s">
        <v>198</v>
      </c>
      <c r="C15" s="40" t="s">
        <v>11</v>
      </c>
      <c r="D15" s="41">
        <v>1.1539999999999999</v>
      </c>
      <c r="E15" s="41"/>
      <c r="F15" s="42">
        <v>9145</v>
      </c>
      <c r="G15" s="42" t="s">
        <v>164</v>
      </c>
      <c r="H15" s="43" t="s">
        <v>148</v>
      </c>
      <c r="I15" s="43" t="s">
        <v>186</v>
      </c>
      <c r="J15" s="43"/>
      <c r="K15" s="50">
        <v>974</v>
      </c>
      <c r="L15" s="52" t="s">
        <v>154</v>
      </c>
      <c r="M15" s="50">
        <v>999</v>
      </c>
      <c r="N15" s="52" t="s">
        <v>178</v>
      </c>
      <c r="O15" s="50">
        <v>1017</v>
      </c>
      <c r="P15" s="52" t="s">
        <v>178</v>
      </c>
      <c r="Q15" s="50"/>
      <c r="R15" s="52"/>
      <c r="S15" s="50"/>
      <c r="T15" s="52"/>
      <c r="U15" s="50"/>
      <c r="V15" s="52"/>
      <c r="W15" s="44"/>
    </row>
    <row r="16" spans="1:23" s="29" customFormat="1" ht="33.75" customHeight="1" x14ac:dyDescent="0.3">
      <c r="A16" s="31" t="s">
        <v>151</v>
      </c>
      <c r="B16" s="31" t="s">
        <v>201</v>
      </c>
      <c r="C16" s="26" t="s">
        <v>12</v>
      </c>
      <c r="D16" s="33">
        <v>2.65</v>
      </c>
      <c r="E16" s="33"/>
      <c r="F16" s="27">
        <v>11158</v>
      </c>
      <c r="G16" s="27" t="s">
        <v>167</v>
      </c>
      <c r="H16" s="28"/>
      <c r="I16" s="28"/>
      <c r="J16" s="28"/>
      <c r="K16" s="53">
        <v>1003</v>
      </c>
      <c r="L16" s="52" t="s">
        <v>154</v>
      </c>
      <c r="M16" s="53">
        <v>1021</v>
      </c>
      <c r="N16" s="55" t="s">
        <v>178</v>
      </c>
      <c r="O16" s="50">
        <v>1018</v>
      </c>
      <c r="P16" s="55" t="s">
        <v>178</v>
      </c>
      <c r="Q16" s="53"/>
      <c r="R16" s="55"/>
      <c r="S16" s="53"/>
      <c r="T16" s="55"/>
      <c r="U16" s="53"/>
      <c r="V16" s="55"/>
      <c r="W16" s="37"/>
    </row>
    <row r="17" spans="1:23" s="29" customFormat="1" ht="33.75" customHeight="1" x14ac:dyDescent="0.3">
      <c r="A17" s="31">
        <f>+A15+3</f>
        <v>14</v>
      </c>
      <c r="B17" s="31" t="s">
        <v>202</v>
      </c>
      <c r="C17" s="26" t="s">
        <v>13</v>
      </c>
      <c r="D17" s="32">
        <v>2.6739999999999999</v>
      </c>
      <c r="E17" s="32"/>
      <c r="F17" s="27">
        <v>21190</v>
      </c>
      <c r="G17" s="27" t="s">
        <v>168</v>
      </c>
      <c r="H17" s="28" t="s">
        <v>149</v>
      </c>
      <c r="I17" s="28"/>
      <c r="J17" s="28"/>
      <c r="K17" s="53">
        <v>975</v>
      </c>
      <c r="L17" s="54" t="s">
        <v>154</v>
      </c>
      <c r="M17" s="53">
        <v>1002</v>
      </c>
      <c r="N17" s="55" t="s">
        <v>178</v>
      </c>
      <c r="O17" s="53">
        <v>1020</v>
      </c>
      <c r="P17" s="55" t="s">
        <v>178</v>
      </c>
      <c r="Q17" s="53"/>
      <c r="R17" s="54"/>
      <c r="S17" s="53"/>
      <c r="T17" s="54"/>
      <c r="U17" s="53"/>
      <c r="V17" s="54"/>
      <c r="W17" s="37"/>
    </row>
    <row r="18" spans="1:23" s="29" customFormat="1" ht="37.5" customHeight="1" x14ac:dyDescent="0.3">
      <c r="A18" s="31">
        <f t="shared" si="0"/>
        <v>15</v>
      </c>
      <c r="B18" s="39" t="s">
        <v>197</v>
      </c>
      <c r="C18" s="26" t="s">
        <v>14</v>
      </c>
      <c r="D18" s="32">
        <v>3.7435999999999998</v>
      </c>
      <c r="E18" s="32"/>
      <c r="F18" s="27">
        <v>31540</v>
      </c>
      <c r="G18" s="27" t="s">
        <v>169</v>
      </c>
      <c r="H18" s="28" t="s">
        <v>150</v>
      </c>
      <c r="I18" s="28"/>
      <c r="J18" s="28"/>
      <c r="K18" s="53">
        <v>976</v>
      </c>
      <c r="L18" s="54" t="s">
        <v>154</v>
      </c>
      <c r="M18" s="53">
        <v>1000</v>
      </c>
      <c r="N18" s="52" t="s">
        <v>178</v>
      </c>
      <c r="O18" s="53">
        <v>1018</v>
      </c>
      <c r="P18" s="52" t="s">
        <v>178</v>
      </c>
      <c r="Q18" s="53"/>
      <c r="R18" s="54"/>
      <c r="S18" s="53"/>
      <c r="T18" s="54"/>
      <c r="U18" s="53"/>
      <c r="V18" s="54"/>
      <c r="W18" s="37"/>
    </row>
    <row r="19" spans="1:23" s="29" customFormat="1" ht="34.5" customHeight="1" x14ac:dyDescent="0.3">
      <c r="A19" s="31">
        <f t="shared" si="0"/>
        <v>16</v>
      </c>
      <c r="B19" s="39" t="s">
        <v>197</v>
      </c>
      <c r="C19" s="26" t="s">
        <v>15</v>
      </c>
      <c r="D19" s="32">
        <v>1.64</v>
      </c>
      <c r="E19" s="32"/>
      <c r="F19" s="27">
        <v>13817</v>
      </c>
      <c r="G19" s="27" t="s">
        <v>165</v>
      </c>
      <c r="H19" s="28" t="s">
        <v>147</v>
      </c>
      <c r="I19" s="28" t="s">
        <v>187</v>
      </c>
      <c r="J19" s="28"/>
      <c r="K19" s="53">
        <v>977</v>
      </c>
      <c r="L19" s="54" t="s">
        <v>154</v>
      </c>
      <c r="M19" s="53">
        <v>994</v>
      </c>
      <c r="N19" s="54" t="s">
        <v>178</v>
      </c>
      <c r="O19" s="53">
        <v>1012</v>
      </c>
      <c r="P19" s="54" t="s">
        <v>178</v>
      </c>
      <c r="Q19" s="53"/>
      <c r="R19" s="54"/>
      <c r="S19" s="53"/>
      <c r="T19" s="54"/>
      <c r="U19" s="53"/>
      <c r="V19" s="54"/>
      <c r="W19" s="37"/>
    </row>
    <row r="20" spans="1:23" s="45" customFormat="1" ht="39" customHeight="1" x14ac:dyDescent="0.3">
      <c r="A20" s="39">
        <f t="shared" si="0"/>
        <v>17</v>
      </c>
      <c r="B20" s="39" t="s">
        <v>203</v>
      </c>
      <c r="C20" s="40" t="s">
        <v>16</v>
      </c>
      <c r="D20" s="41">
        <v>3.1233</v>
      </c>
      <c r="E20" s="41"/>
      <c r="F20" s="42">
        <v>29749</v>
      </c>
      <c r="G20" s="42" t="s">
        <v>164</v>
      </c>
      <c r="H20" s="43" t="s">
        <v>179</v>
      </c>
      <c r="I20" s="43" t="s">
        <v>188</v>
      </c>
      <c r="J20" s="43"/>
      <c r="K20" s="50">
        <v>978</v>
      </c>
      <c r="L20" s="52" t="s">
        <v>154</v>
      </c>
      <c r="M20" s="50">
        <v>1001</v>
      </c>
      <c r="N20" s="54" t="s">
        <v>178</v>
      </c>
      <c r="O20" s="50">
        <v>1144</v>
      </c>
      <c r="P20" s="54" t="s">
        <v>178</v>
      </c>
      <c r="Q20" s="50"/>
      <c r="R20" s="52"/>
      <c r="S20" s="50"/>
      <c r="T20" s="52"/>
      <c r="U20" s="50"/>
      <c r="V20" s="52"/>
      <c r="W20" s="44"/>
    </row>
    <row r="21" spans="1:23" s="45" customFormat="1" ht="38.25" customHeight="1" x14ac:dyDescent="0.3">
      <c r="A21" s="39">
        <f t="shared" si="0"/>
        <v>18</v>
      </c>
      <c r="B21" s="39" t="s">
        <v>204</v>
      </c>
      <c r="C21" s="40" t="s">
        <v>17</v>
      </c>
      <c r="D21" s="41">
        <v>0.65100000000000002</v>
      </c>
      <c r="E21" s="41"/>
      <c r="F21" s="42">
        <v>5484</v>
      </c>
      <c r="G21" s="42" t="s">
        <v>167</v>
      </c>
      <c r="H21" s="43" t="s">
        <v>148</v>
      </c>
      <c r="I21" s="43" t="s">
        <v>189</v>
      </c>
      <c r="J21" s="43"/>
      <c r="K21" s="50">
        <v>979</v>
      </c>
      <c r="L21" s="52" t="s">
        <v>154</v>
      </c>
      <c r="M21" s="50">
        <v>1010</v>
      </c>
      <c r="N21" s="54" t="s">
        <v>178</v>
      </c>
      <c r="O21" s="50">
        <v>1028</v>
      </c>
      <c r="P21" s="54" t="s">
        <v>178</v>
      </c>
      <c r="Q21" s="50"/>
      <c r="R21" s="52"/>
      <c r="S21" s="50"/>
      <c r="T21" s="52"/>
      <c r="U21" s="50"/>
      <c r="V21" s="52"/>
      <c r="W21" s="44"/>
    </row>
    <row r="22" spans="1:23" s="49" customFormat="1" ht="37.5" customHeight="1" x14ac:dyDescent="0.3">
      <c r="A22" s="39">
        <f t="shared" si="0"/>
        <v>19</v>
      </c>
      <c r="B22" s="39" t="s">
        <v>205</v>
      </c>
      <c r="C22" s="40" t="s">
        <v>18</v>
      </c>
      <c r="D22" s="41">
        <v>1.4339999999999999</v>
      </c>
      <c r="E22" s="41"/>
      <c r="F22" s="47">
        <v>12081</v>
      </c>
      <c r="G22" s="47" t="s">
        <v>170</v>
      </c>
      <c r="H22" s="43" t="s">
        <v>180</v>
      </c>
      <c r="I22" s="43" t="s">
        <v>190</v>
      </c>
      <c r="J22" s="43"/>
      <c r="K22" s="56">
        <v>980</v>
      </c>
      <c r="L22" s="52" t="s">
        <v>154</v>
      </c>
      <c r="M22" s="56">
        <v>1004</v>
      </c>
      <c r="N22" s="54" t="s">
        <v>178</v>
      </c>
      <c r="O22" s="56">
        <v>1022</v>
      </c>
      <c r="P22" s="54" t="s">
        <v>178</v>
      </c>
      <c r="Q22" s="56"/>
      <c r="R22" s="52"/>
      <c r="S22" s="56"/>
      <c r="T22" s="52"/>
      <c r="U22" s="56"/>
      <c r="V22" s="52"/>
      <c r="W22" s="48"/>
    </row>
    <row r="24" spans="1:23" x14ac:dyDescent="0.3">
      <c r="D24" s="69">
        <f>SUM(D5:D22)</f>
        <v>29.087600000000002</v>
      </c>
      <c r="E24" s="69"/>
    </row>
    <row r="27" spans="1:23" x14ac:dyDescent="0.3">
      <c r="Q27" s="35">
        <f>55000000000*(1-8%)</f>
        <v>50600000000</v>
      </c>
    </row>
    <row r="28" spans="1:23" x14ac:dyDescent="0.3">
      <c r="Q28" s="35">
        <f>+Q27*1%</f>
        <v>506000000</v>
      </c>
    </row>
  </sheetData>
  <mergeCells count="8">
    <mergeCell ref="S3:T3"/>
    <mergeCell ref="U3:V3"/>
    <mergeCell ref="Q3:R3"/>
    <mergeCell ref="A1:I1"/>
    <mergeCell ref="A2:H2"/>
    <mergeCell ref="K3:L3"/>
    <mergeCell ref="M3:N3"/>
    <mergeCell ref="O3:P3"/>
  </mergeCells>
  <pageMargins left="0.49" right="0.21" top="0.57999999999999996" bottom="0.39" header="0.3" footer="0.3"/>
  <pageSetup paperSize="9" scale="85" orientation="landscape" r:id="rId1"/>
  <headerFooter>
    <oddFooter>&amp;CTrang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election activeCell="B15" sqref="B15"/>
    </sheetView>
  </sheetViews>
  <sheetFormatPr defaultColWidth="9.109375" defaultRowHeight="15.6" x14ac:dyDescent="0.3"/>
  <cols>
    <col min="1" max="1" width="7" style="2" customWidth="1"/>
    <col min="2" max="2" width="52.88671875" style="2" customWidth="1"/>
    <col min="3" max="3" width="16.109375" style="2" hidden="1" customWidth="1"/>
    <col min="4" max="4" width="16.109375" style="77" customWidth="1"/>
    <col min="5" max="5" width="16.109375" style="2" hidden="1" customWidth="1"/>
    <col min="6" max="6" width="18.88671875" style="2" hidden="1" customWidth="1"/>
    <col min="7" max="7" width="18.88671875" style="2" customWidth="1"/>
    <col min="8" max="8" width="16.44140625" style="2" customWidth="1"/>
    <col min="9" max="16384" width="9.109375" style="2"/>
  </cols>
  <sheetData>
    <row r="1" spans="1:11" ht="25.5" customHeight="1" x14ac:dyDescent="0.3">
      <c r="A1" s="424" t="s">
        <v>209</v>
      </c>
      <c r="B1" s="424"/>
      <c r="C1" s="424"/>
      <c r="D1" s="424"/>
      <c r="E1" s="424"/>
      <c r="F1" s="424"/>
      <c r="G1" s="424"/>
      <c r="H1" s="424"/>
    </row>
    <row r="2" spans="1:11" ht="12" customHeight="1" x14ac:dyDescent="0.3"/>
    <row r="3" spans="1:11" s="57" customFormat="1" ht="37.5" customHeight="1" x14ac:dyDescent="0.3">
      <c r="A3" s="9" t="s">
        <v>0</v>
      </c>
      <c r="B3" s="9" t="s">
        <v>193</v>
      </c>
      <c r="C3" s="11" t="s">
        <v>211</v>
      </c>
      <c r="D3" s="78" t="s">
        <v>258</v>
      </c>
      <c r="E3" s="11" t="s">
        <v>213</v>
      </c>
      <c r="F3" s="9" t="s">
        <v>194</v>
      </c>
      <c r="G3" s="11" t="s">
        <v>214</v>
      </c>
      <c r="H3" s="11" t="s">
        <v>195</v>
      </c>
    </row>
    <row r="4" spans="1:11" s="71" customFormat="1" x14ac:dyDescent="0.3">
      <c r="A4" s="9">
        <v>1</v>
      </c>
      <c r="B4" s="70" t="s">
        <v>196</v>
      </c>
      <c r="C4" s="76">
        <f>SUMIF('DM 19 công trình'!$B$5:$B$22,'Không sử dụng biểu này'!B4,'DM 19 công trình'!$D$5:$D$22)</f>
        <v>2.46</v>
      </c>
      <c r="D4" s="79">
        <f>SUM(D5:D6)</f>
        <v>5.0128000000000004</v>
      </c>
      <c r="E4" s="76"/>
      <c r="F4" s="3">
        <v>3.15</v>
      </c>
      <c r="G4" s="3">
        <v>3.15</v>
      </c>
      <c r="H4" s="83">
        <f>G4-D4</f>
        <v>-1.8628000000000005</v>
      </c>
    </row>
    <row r="5" spans="1:11" ht="27.6" x14ac:dyDescent="0.3">
      <c r="A5" s="4"/>
      <c r="B5" s="73" t="str">
        <f>'DM 19 công trình'!C5</f>
        <v>Hạ tầng kỹ thuật khu dân cư phố Trung Sơn, thị trấn Bút Sơn, huyện Hoằng Hóa (Mặt bằng số 01).</v>
      </c>
      <c r="C5" s="75">
        <f>'DM 19 công trình'!D5</f>
        <v>0.4642</v>
      </c>
      <c r="D5" s="81">
        <v>0.67300000000000004</v>
      </c>
      <c r="E5" s="75">
        <f>+D5-C5</f>
        <v>0.20880000000000004</v>
      </c>
      <c r="F5" s="68"/>
      <c r="G5" s="68"/>
      <c r="H5" s="83"/>
    </row>
    <row r="6" spans="1:11" ht="27.6" x14ac:dyDescent="0.3">
      <c r="A6" s="4"/>
      <c r="B6" s="73" t="str">
        <f>'DM 19 công trình'!C6</f>
        <v>Hạ tầng kỹ thuật khu dân cư phố Trung Sơn, thị trấn Bút Sơn, huyện Hoằng Hóa (Mặt bằng số 02)</v>
      </c>
      <c r="C6" s="75">
        <f>'DM 19 công trình'!D6</f>
        <v>1.9958</v>
      </c>
      <c r="D6" s="81">
        <v>4.3398000000000003</v>
      </c>
      <c r="E6" s="75">
        <f t="shared" ref="E6:E33" si="0">+D6-C6</f>
        <v>2.3440000000000003</v>
      </c>
      <c r="F6" s="68"/>
      <c r="G6" s="68"/>
      <c r="H6" s="83"/>
    </row>
    <row r="7" spans="1:11" s="71" customFormat="1" x14ac:dyDescent="0.3">
      <c r="A7" s="9">
        <f>1+A4</f>
        <v>2</v>
      </c>
      <c r="B7" s="72" t="s">
        <v>202</v>
      </c>
      <c r="C7" s="76">
        <f>SUMIF('DM 19 công trình'!$B$5:$B$22,'Không sử dụng biểu này'!B7,'DM 19 công trình'!$D$5:$D$22)</f>
        <v>2.6739999999999999</v>
      </c>
      <c r="D7" s="82">
        <f>SUM(D8)</f>
        <v>0</v>
      </c>
      <c r="E7" s="75"/>
      <c r="F7" s="3">
        <v>1.45</v>
      </c>
      <c r="G7" s="3">
        <v>1.45</v>
      </c>
      <c r="H7" s="83">
        <f>G7-D7</f>
        <v>1.45</v>
      </c>
    </row>
    <row r="8" spans="1:11" ht="27.6" x14ac:dyDescent="0.3">
      <c r="A8" s="4"/>
      <c r="B8" s="73" t="str">
        <f>'DM 19 công trình'!C17</f>
        <v>Hạ tầng kỹ thuật khu dân cư xã Hoằng Đồng (tiếp giáp TDA2), huyện Hoằng Hóa (Mặt bằng số 14).</v>
      </c>
      <c r="C8" s="75">
        <f>'DM 19 công trình'!D17</f>
        <v>2.6739999999999999</v>
      </c>
      <c r="D8" s="81"/>
      <c r="E8" s="75">
        <f t="shared" si="0"/>
        <v>-2.6739999999999999</v>
      </c>
      <c r="F8" s="68"/>
      <c r="G8" s="68"/>
      <c r="H8" s="83"/>
    </row>
    <row r="9" spans="1:11" s="71" customFormat="1" x14ac:dyDescent="0.3">
      <c r="A9" s="9">
        <f>1+A7</f>
        <v>3</v>
      </c>
      <c r="B9" s="72" t="s">
        <v>197</v>
      </c>
      <c r="C9" s="76">
        <f>SUMIF('DM 19 công trình'!$B$5:$B$22,'Không sử dụng biểu này'!B9,'DM 19 công trình'!$D$5:$D$22)-C15</f>
        <v>7.769099999999999</v>
      </c>
      <c r="D9" s="82">
        <f>SUM(D10:D14)</f>
        <v>1.9084000000000001</v>
      </c>
      <c r="E9" s="75"/>
      <c r="F9" s="3">
        <v>3.88</v>
      </c>
      <c r="G9" s="3">
        <v>3.88</v>
      </c>
      <c r="H9" s="83">
        <f>G9-D9</f>
        <v>1.9715999999999998</v>
      </c>
    </row>
    <row r="10" spans="1:11" ht="27.6" x14ac:dyDescent="0.3">
      <c r="A10" s="4"/>
      <c r="B10" s="73" t="str">
        <f>'DM 19 công trình'!C7</f>
        <v>Hạ tầng kỹ thuật khu dân cư thôn 1 xã Hoằng Thịnh, huyện Hoằng Hóa (Mặt bằng số 03).</v>
      </c>
      <c r="C10" s="75">
        <f>'DM 19 công trình'!D7</f>
        <v>1.32</v>
      </c>
      <c r="D10" s="81">
        <v>1.1242000000000001</v>
      </c>
      <c r="E10" s="75">
        <f t="shared" si="0"/>
        <v>-0.19579999999999997</v>
      </c>
      <c r="F10" s="73">
        <f>'DM 19 công trình'!F7</f>
        <v>11120</v>
      </c>
      <c r="G10" s="68"/>
      <c r="H10" s="83"/>
      <c r="K10" s="80"/>
    </row>
    <row r="11" spans="1:11" ht="27.6" x14ac:dyDescent="0.3">
      <c r="A11" s="4"/>
      <c r="B11" s="73" t="str">
        <f>'DM 19 công trình'!C8</f>
        <v>Hạ tầng kỹ thuật khu dân cư thôn 1, thôn 2 xã Hoằng Thịnh, và thôn 4 xã Hoằng Thái, huyện Hoằng Hóa (Mặt bằng số 04).</v>
      </c>
      <c r="C11" s="75">
        <f>'DM 19 công trình'!D8</f>
        <v>1.4937</v>
      </c>
      <c r="D11" s="81">
        <v>0.68059999999999998</v>
      </c>
      <c r="E11" s="75">
        <f t="shared" si="0"/>
        <v>-0.81310000000000004</v>
      </c>
      <c r="F11" s="73">
        <f>'DM 19 công trình'!F8</f>
        <v>12585</v>
      </c>
      <c r="G11" s="68"/>
      <c r="H11" s="83"/>
    </row>
    <row r="12" spans="1:11" ht="27.6" x14ac:dyDescent="0.3">
      <c r="A12" s="4"/>
      <c r="B12" s="73" t="str">
        <f>'DM 19 công trình'!C9</f>
        <v>Hạ tầng kỹ thuật khu dân cư thôn 6, xã Hoằng Thịnh, huyện Hoằng Hóa (Mặt bằng số 05).</v>
      </c>
      <c r="C12" s="75">
        <f>'DM 19 công trình'!D9</f>
        <v>0.159</v>
      </c>
      <c r="D12" s="81">
        <v>0.1036</v>
      </c>
      <c r="E12" s="75">
        <f t="shared" si="0"/>
        <v>-5.5400000000000005E-2</v>
      </c>
      <c r="F12" s="73">
        <f>'DM 19 công trình'!F9</f>
        <v>1344</v>
      </c>
      <c r="G12" s="68"/>
      <c r="H12" s="83"/>
    </row>
    <row r="13" spans="1:11" ht="27.6" x14ac:dyDescent="0.3">
      <c r="A13" s="4"/>
      <c r="B13" s="73" t="str">
        <f>'DM 19 công trình'!C18</f>
        <v>Hạ tầng kỹ thuật khu dân cư thôn 4, thôn 5, xã Hoằng Thịnh, huyện Hoằng Hóa (Mặt bằng số 15).</v>
      </c>
      <c r="C13" s="75">
        <f>'DM 19 công trình'!D18</f>
        <v>3.7435999999999998</v>
      </c>
      <c r="D13" s="81"/>
      <c r="E13" s="75">
        <f t="shared" si="0"/>
        <v>-3.7435999999999998</v>
      </c>
      <c r="F13" s="73">
        <f>'DM 19 công trình'!F18</f>
        <v>31540</v>
      </c>
      <c r="G13" s="68"/>
      <c r="H13" s="83"/>
    </row>
    <row r="14" spans="1:11" ht="27.6" x14ac:dyDescent="0.3">
      <c r="A14" s="4"/>
      <c r="B14" s="73" t="str">
        <f>'DM 19 công trình'!C19</f>
        <v>Hạ tầng kỹ thuật khu dân cư thôn 9, xã Hoằng Thịnh, huyện Hoằng Hóa (Mặt bằng số 16).</v>
      </c>
      <c r="C14" s="75">
        <f>'DM 19 công trình'!D19</f>
        <v>1.64</v>
      </c>
      <c r="D14" s="81"/>
      <c r="E14" s="75">
        <f t="shared" si="0"/>
        <v>-1.64</v>
      </c>
      <c r="F14" s="73">
        <f>'DM 19 công trình'!F19</f>
        <v>13817</v>
      </c>
      <c r="G14" s="68"/>
      <c r="H14" s="83"/>
    </row>
    <row r="15" spans="1:11" s="71" customFormat="1" x14ac:dyDescent="0.3">
      <c r="A15" s="9">
        <f>1+A9</f>
        <v>4</v>
      </c>
      <c r="B15" s="72" t="s">
        <v>207</v>
      </c>
      <c r="C15" s="76">
        <v>0.58720000000000006</v>
      </c>
      <c r="D15" s="82">
        <f>SUM(D16)</f>
        <v>0.58720000000000006</v>
      </c>
      <c r="E15" s="75"/>
      <c r="F15" s="3">
        <v>0.55000000000000004</v>
      </c>
      <c r="G15" s="3">
        <v>0.54</v>
      </c>
      <c r="H15" s="83">
        <f>G15-D15</f>
        <v>-4.720000000000002E-2</v>
      </c>
    </row>
    <row r="16" spans="1:11" x14ac:dyDescent="0.3">
      <c r="A16" s="4"/>
      <c r="B16" s="74" t="s">
        <v>210</v>
      </c>
      <c r="C16" s="75">
        <v>0.59</v>
      </c>
      <c r="D16" s="81">
        <v>0.58720000000000006</v>
      </c>
      <c r="E16" s="75">
        <f t="shared" si="0"/>
        <v>-2.7999999999999137E-3</v>
      </c>
      <c r="F16" s="68"/>
      <c r="G16" s="68"/>
      <c r="H16" s="83"/>
    </row>
    <row r="17" spans="1:8" s="71" customFormat="1" x14ac:dyDescent="0.3">
      <c r="A17" s="9">
        <f>1+A15</f>
        <v>5</v>
      </c>
      <c r="B17" s="72" t="s">
        <v>198</v>
      </c>
      <c r="C17" s="76">
        <f>SUMIF('DM 19 công trình'!$B$5:$B$22,'Không sử dụng biểu này'!B17,'DM 19 công trình'!$D$5:$D$22)</f>
        <v>2.6248</v>
      </c>
      <c r="D17" s="82">
        <f>SUM(D18:D20)</f>
        <v>3.2500999999999998</v>
      </c>
      <c r="E17" s="75"/>
      <c r="F17" s="3">
        <v>1.7</v>
      </c>
      <c r="G17" s="3">
        <v>1.7</v>
      </c>
      <c r="H17" s="83">
        <f>G17-D17</f>
        <v>-1.5500999999999998</v>
      </c>
    </row>
    <row r="18" spans="1:8" ht="27.6" x14ac:dyDescent="0.3">
      <c r="A18" s="4"/>
      <c r="B18" s="73" t="str">
        <f>'DM 19 công trình'!C10</f>
        <v>Hạ tầng kỹ thuật khu dân cư thôn 6, xã Hoằng Thành, huyện Hoằng Hóa (Mặt bằng số 06).</v>
      </c>
      <c r="C18" s="75">
        <f>'DM 19 công trình'!D10</f>
        <v>1.2008000000000001</v>
      </c>
      <c r="D18" s="81">
        <v>1.556</v>
      </c>
      <c r="E18" s="75">
        <f t="shared" si="0"/>
        <v>0.35519999999999996</v>
      </c>
      <c r="F18" s="68"/>
      <c r="G18" s="68"/>
      <c r="H18" s="83"/>
    </row>
    <row r="19" spans="1:8" ht="27.6" x14ac:dyDescent="0.3">
      <c r="A19" s="4"/>
      <c r="B19" s="73" t="str">
        <f>'DM 19 công trình'!C14</f>
        <v>Hạ tầng kỹ thuật khu dân cư thôn 8 xã Hoằng Thành, huyện Hoằng Hóa (Mặt bằng số 10).</v>
      </c>
      <c r="C19" s="75">
        <f>'DM 19 công trình'!D14</f>
        <v>0.27</v>
      </c>
      <c r="D19" s="81">
        <v>0.30599999999999999</v>
      </c>
      <c r="E19" s="75">
        <f t="shared" si="0"/>
        <v>3.5999999999999976E-2</v>
      </c>
      <c r="F19" s="68"/>
      <c r="G19" s="68"/>
      <c r="H19" s="83"/>
    </row>
    <row r="20" spans="1:8" ht="27.6" x14ac:dyDescent="0.3">
      <c r="A20" s="4"/>
      <c r="B20" s="73" t="str">
        <f>'DM 19 công trình'!C15</f>
        <v>Hạ tầng kỹ thuật khu dân cư thôn 8 xã Hoằng Thành (Mặt bằng 11).</v>
      </c>
      <c r="C20" s="75">
        <f>'DM 19 công trình'!D15</f>
        <v>1.1539999999999999</v>
      </c>
      <c r="D20" s="81">
        <v>1.3880999999999999</v>
      </c>
      <c r="E20" s="75">
        <f t="shared" si="0"/>
        <v>0.23409999999999997</v>
      </c>
      <c r="F20" s="68"/>
      <c r="G20" s="68"/>
      <c r="H20" s="83"/>
    </row>
    <row r="21" spans="1:8" s="71" customFormat="1" x14ac:dyDescent="0.3">
      <c r="A21" s="9">
        <f>1+A17</f>
        <v>6</v>
      </c>
      <c r="B21" s="70" t="s">
        <v>199</v>
      </c>
      <c r="C21" s="76">
        <f>SUMIF('DM 19 công trình'!$B$5:$B$22,'Không sử dụng biểu này'!B21,'DM 19 công trình'!$D$5:$D$22)</f>
        <v>1.2589999999999999</v>
      </c>
      <c r="D21" s="82">
        <f>SUM(D22)</f>
        <v>0</v>
      </c>
      <c r="E21" s="75"/>
      <c r="F21" s="3">
        <v>0.87</v>
      </c>
      <c r="G21" s="3">
        <v>0.87</v>
      </c>
      <c r="H21" s="83">
        <f>G21-D21</f>
        <v>0.87</v>
      </c>
    </row>
    <row r="22" spans="1:8" ht="27.6" x14ac:dyDescent="0.3">
      <c r="A22" s="4"/>
      <c r="B22" s="73" t="str">
        <f>'DM 19 công trình'!C11</f>
        <v>Hạ tầng kỹ thuật khu dân cư thôn 12, xã Hoằng Thắng, huyện Hoằng Hóa (Mặt bằng số 07).</v>
      </c>
      <c r="C22" s="75">
        <f>'DM 19 công trình'!D11</f>
        <v>1.2589999999999999</v>
      </c>
      <c r="D22" s="81"/>
      <c r="E22" s="75">
        <f t="shared" si="0"/>
        <v>-1.2589999999999999</v>
      </c>
      <c r="F22" s="68"/>
      <c r="G22" s="68"/>
      <c r="H22" s="83"/>
    </row>
    <row r="23" spans="1:8" s="71" customFormat="1" x14ac:dyDescent="0.3">
      <c r="A23" s="9">
        <f>1+A21</f>
        <v>7</v>
      </c>
      <c r="B23" s="72" t="s">
        <v>200</v>
      </c>
      <c r="C23" s="76">
        <f>SUMIF('DM 19 công trình'!$B$5:$B$22,'Không sử dụng biểu này'!B23,'DM 19 công trình'!$D$5:$D$22)</f>
        <v>3.8552</v>
      </c>
      <c r="D23" s="82">
        <f>SUM(D24:D25)</f>
        <v>0</v>
      </c>
      <c r="E23" s="75"/>
      <c r="F23" s="3">
        <v>2.2000000000000002</v>
      </c>
      <c r="G23" s="3">
        <v>2.2000000000000002</v>
      </c>
      <c r="H23" s="83">
        <f>G23-D23</f>
        <v>2.2000000000000002</v>
      </c>
    </row>
    <row r="24" spans="1:8" ht="27.6" x14ac:dyDescent="0.3">
      <c r="A24" s="4"/>
      <c r="B24" s="73" t="str">
        <f>'DM 19 công trình'!C12</f>
        <v>Hạ tầng kỹ thuật khu dân cư  thôn Phượng Ngô 2, xã Hoằng Lưu, huyện Hoằng Hóa (Mặt bằng số 08).</v>
      </c>
      <c r="C24" s="75">
        <f>'DM 19 công trình'!D12</f>
        <v>2.6269999999999998</v>
      </c>
      <c r="D24" s="81"/>
      <c r="E24" s="75">
        <f t="shared" si="0"/>
        <v>-2.6269999999999998</v>
      </c>
      <c r="F24" s="68"/>
      <c r="G24" s="68"/>
      <c r="H24" s="83"/>
    </row>
    <row r="25" spans="1:8" ht="27.6" x14ac:dyDescent="0.3">
      <c r="A25" s="4"/>
      <c r="B25" s="73" t="str">
        <f>'DM 19 công trình'!C13</f>
        <v>Hạ tầng kỹ thuật khu dân cư  thôn Phượng Ngô 2, xã Hoằng Lưu, huyện Hoằng Hóa (Mặt bằng số 09).</v>
      </c>
      <c r="C25" s="75">
        <f>'DM 19 công trình'!D13</f>
        <v>1.2282</v>
      </c>
      <c r="D25" s="81"/>
      <c r="E25" s="75">
        <f t="shared" si="0"/>
        <v>-1.2282</v>
      </c>
      <c r="F25" s="68"/>
      <c r="G25" s="68"/>
      <c r="H25" s="83"/>
    </row>
    <row r="26" spans="1:8" s="71" customFormat="1" x14ac:dyDescent="0.3">
      <c r="A26" s="9">
        <f>1+A23</f>
        <v>8</v>
      </c>
      <c r="B26" s="72" t="s">
        <v>201</v>
      </c>
      <c r="C26" s="76">
        <f>SUMIF('DM 19 công trình'!$B$5:$B$22,'Không sử dụng biểu này'!B26,'DM 19 công trình'!$D$5:$D$22)</f>
        <v>2.65</v>
      </c>
      <c r="D26" s="82">
        <f>SUM(D27)</f>
        <v>1.08</v>
      </c>
      <c r="E26" s="75"/>
      <c r="F26" s="3">
        <v>2</v>
      </c>
      <c r="G26" s="3">
        <v>2</v>
      </c>
      <c r="H26" s="83">
        <f>G26-D26</f>
        <v>0.91999999999999993</v>
      </c>
    </row>
    <row r="27" spans="1:8" ht="27.6" x14ac:dyDescent="0.3">
      <c r="A27" s="4"/>
      <c r="B27" s="73" t="str">
        <f>'DM 19 công trình'!C16</f>
        <v>Hạ tầng kỹ thuật khu dân cư thôn Tiền Thôn 1 xã Hoằng Tiến (Mặt bằng số 12 và Mặt bằng số 13).</v>
      </c>
      <c r="C27" s="75">
        <f>'DM 19 công trình'!D16</f>
        <v>2.65</v>
      </c>
      <c r="D27" s="81">
        <v>1.08</v>
      </c>
      <c r="E27" s="75">
        <f t="shared" si="0"/>
        <v>-1.5699999999999998</v>
      </c>
      <c r="F27" s="68"/>
      <c r="G27" s="68"/>
      <c r="H27" s="83"/>
    </row>
    <row r="28" spans="1:8" s="71" customFormat="1" x14ac:dyDescent="0.3">
      <c r="A28" s="9">
        <f>1+A26</f>
        <v>9</v>
      </c>
      <c r="B28" s="70" t="s">
        <v>203</v>
      </c>
      <c r="C28" s="76">
        <f>SUMIF('DM 19 công trình'!$B$5:$B$22,'Không sử dụng biểu này'!B28,'DM 19 công trình'!$D$5:$D$22)</f>
        <v>3.1233</v>
      </c>
      <c r="D28" s="82">
        <f>SUM(D29)</f>
        <v>4.6494999999999997</v>
      </c>
      <c r="E28" s="75"/>
      <c r="F28" s="3">
        <v>1.84</v>
      </c>
      <c r="G28" s="3">
        <v>1.84</v>
      </c>
      <c r="H28" s="83">
        <f>G28-D28</f>
        <v>-2.8094999999999999</v>
      </c>
    </row>
    <row r="29" spans="1:8" ht="27.6" x14ac:dyDescent="0.3">
      <c r="A29" s="4"/>
      <c r="B29" s="73" t="str">
        <f>'DM 19 công trình'!C20</f>
        <v>Hạ tầng kỹ thuật khu dân cư thôn 5, thôn 6, thôn 7, xã Hoằng Kim, huyện Hoằng Hóa (Mặt bằng số 17).</v>
      </c>
      <c r="C29" s="75">
        <f>'DM 19 công trình'!D20</f>
        <v>3.1233</v>
      </c>
      <c r="D29" s="81">
        <v>4.6494999999999997</v>
      </c>
      <c r="E29" s="75">
        <f t="shared" si="0"/>
        <v>1.5261999999999998</v>
      </c>
      <c r="F29" s="68"/>
      <c r="G29" s="68"/>
      <c r="H29" s="83"/>
    </row>
    <row r="30" spans="1:8" s="71" customFormat="1" x14ac:dyDescent="0.3">
      <c r="A30" s="9">
        <f>1+A28</f>
        <v>10</v>
      </c>
      <c r="B30" s="70" t="s">
        <v>204</v>
      </c>
      <c r="C30" s="76">
        <f>SUMIF('DM 19 công trình'!$B$5:$B$22,'Không sử dụng biểu này'!B30,'DM 19 công trình'!$D$5:$D$22)</f>
        <v>0.65100000000000002</v>
      </c>
      <c r="D30" s="82">
        <f>SUM(D31)</f>
        <v>0.79469999999999996</v>
      </c>
      <c r="E30" s="75"/>
      <c r="F30" s="3">
        <v>0.36</v>
      </c>
      <c r="G30" s="3">
        <v>0.36</v>
      </c>
      <c r="H30" s="83">
        <f>G30-D30</f>
        <v>-0.43469999999999998</v>
      </c>
    </row>
    <row r="31" spans="1:8" ht="27.6" x14ac:dyDescent="0.3">
      <c r="A31" s="4"/>
      <c r="B31" s="73" t="str">
        <f>'DM 19 công trình'!C21</f>
        <v>Hạ tầng kỹ thuật khu dân cư thôn Trinh Nga, xã Hoằng Trinh, huyện Hoằng Hóa (Mặt bằng số 18).</v>
      </c>
      <c r="C31" s="75">
        <f>'DM 19 công trình'!D21</f>
        <v>0.65100000000000002</v>
      </c>
      <c r="D31" s="81">
        <v>0.79469999999999996</v>
      </c>
      <c r="E31" s="75">
        <f>+D31-C31</f>
        <v>0.14369999999999994</v>
      </c>
      <c r="F31" s="68"/>
      <c r="G31" s="68"/>
      <c r="H31" s="83"/>
    </row>
    <row r="32" spans="1:8" s="71" customFormat="1" x14ac:dyDescent="0.3">
      <c r="A32" s="9">
        <f>1+A30</f>
        <v>11</v>
      </c>
      <c r="B32" s="70" t="s">
        <v>205</v>
      </c>
      <c r="C32" s="76">
        <f>SUMIF('DM 19 công trình'!$B$5:$B$22,'Không sử dụng biểu này'!B32,'DM 19 công trình'!$D$5:$D$22)</f>
        <v>1.4339999999999999</v>
      </c>
      <c r="D32" s="82">
        <f>SUM(D33)</f>
        <v>1.4608000000000001</v>
      </c>
      <c r="E32" s="75"/>
      <c r="F32" s="3">
        <v>0.78</v>
      </c>
      <c r="G32" s="3">
        <v>0.78</v>
      </c>
      <c r="H32" s="83">
        <f>G32-D32</f>
        <v>-0.68080000000000007</v>
      </c>
    </row>
    <row r="33" spans="1:9" ht="27.6" x14ac:dyDescent="0.3">
      <c r="A33" s="4"/>
      <c r="B33" s="73" t="str">
        <f>'DM 19 công trình'!C22</f>
        <v>Hạ tầng kỹ thuật khu dân cư thôn Lương Quán, xã Hoằng Lương, huyện Hoằng Hóa (Mặt bằng số 19)</v>
      </c>
      <c r="C33" s="75">
        <f>'DM 19 công trình'!D22</f>
        <v>1.4339999999999999</v>
      </c>
      <c r="D33" s="81">
        <v>1.4608000000000001</v>
      </c>
      <c r="E33" s="75">
        <f t="shared" si="0"/>
        <v>2.6800000000000157E-2</v>
      </c>
      <c r="F33" s="68"/>
      <c r="G33" s="68"/>
      <c r="H33" s="83"/>
    </row>
    <row r="34" spans="1:9" s="71" customFormat="1" ht="23.25" customHeight="1" x14ac:dyDescent="0.3">
      <c r="A34" s="9"/>
      <c r="B34" s="70" t="s">
        <v>206</v>
      </c>
      <c r="C34" s="82">
        <f>C4+C7+C9+C15+C17+C21+C23+C26+C28+C30+C32</f>
        <v>29.087599999999998</v>
      </c>
      <c r="D34" s="82">
        <f>D4+D7+D9+D15+D17+D21+D23+D26+D28+D30+D32</f>
        <v>18.743499999999997</v>
      </c>
      <c r="E34" s="76"/>
      <c r="F34" s="3">
        <f>SUM(F4:F32)</f>
        <v>70424.779999999984</v>
      </c>
      <c r="G34" s="3">
        <f>SUM(G4:G32)</f>
        <v>18.77</v>
      </c>
      <c r="H34" s="83">
        <f>G34-D34</f>
        <v>2.6500000000002188E-2</v>
      </c>
    </row>
    <row r="36" spans="1:9" x14ac:dyDescent="0.3">
      <c r="I36" s="2" t="s">
        <v>208</v>
      </c>
    </row>
  </sheetData>
  <mergeCells count="1">
    <mergeCell ref="A1:H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IV98"/>
  <sheetViews>
    <sheetView view="pageBreakPreview" zoomScale="85" zoomScaleSheetLayoutView="85" workbookViewId="0">
      <selection activeCell="G17" sqref="G17"/>
    </sheetView>
  </sheetViews>
  <sheetFormatPr defaultColWidth="9.109375" defaultRowHeight="15.6" x14ac:dyDescent="0.3"/>
  <cols>
    <col min="1" max="1" width="4.44140625" style="101" customWidth="1"/>
    <col min="2" max="2" width="41.6640625" style="245" customWidth="1"/>
    <col min="3" max="3" width="3" style="101" hidden="1" customWidth="1"/>
    <col min="4" max="4" width="14.88671875" style="102" customWidth="1"/>
    <col min="5" max="5" width="12" style="103" hidden="1" customWidth="1"/>
    <col min="6" max="6" width="17.44140625" style="101" hidden="1" customWidth="1"/>
    <col min="7" max="7" width="17.44140625" style="101" customWidth="1"/>
    <col min="8" max="8" width="11.33203125" style="101" customWidth="1"/>
    <col min="9" max="9" width="12.33203125" style="101" customWidth="1"/>
    <col min="10" max="10" width="17.33203125" style="101" hidden="1" customWidth="1"/>
    <col min="11" max="11" width="11.33203125" style="147" customWidth="1"/>
    <col min="12" max="12" width="13.33203125" style="101" customWidth="1"/>
    <col min="13" max="13" width="28.44140625" style="102" customWidth="1"/>
    <col min="14" max="16384" width="9.109375" style="102"/>
  </cols>
  <sheetData>
    <row r="1" spans="1:13" x14ac:dyDescent="0.3">
      <c r="B1" s="242" t="s">
        <v>277</v>
      </c>
      <c r="C1" s="432" t="s">
        <v>278</v>
      </c>
      <c r="D1" s="432"/>
      <c r="E1" s="432"/>
      <c r="F1" s="432"/>
      <c r="G1" s="432"/>
      <c r="H1" s="432"/>
      <c r="I1" s="432"/>
      <c r="J1" s="432"/>
      <c r="K1" s="432"/>
      <c r="L1" s="432"/>
      <c r="M1" s="432"/>
    </row>
    <row r="2" spans="1:13" x14ac:dyDescent="0.3">
      <c r="B2" s="243" t="s">
        <v>320</v>
      </c>
      <c r="C2" s="433" t="s">
        <v>279</v>
      </c>
      <c r="D2" s="433"/>
      <c r="E2" s="433"/>
      <c r="F2" s="433"/>
      <c r="G2" s="433"/>
      <c r="H2" s="433"/>
      <c r="I2" s="433"/>
      <c r="J2" s="433"/>
      <c r="K2" s="433"/>
      <c r="L2" s="433"/>
      <c r="M2" s="433"/>
    </row>
    <row r="3" spans="1:13" ht="14.25" customHeight="1" x14ac:dyDescent="0.3">
      <c r="B3" s="244"/>
    </row>
    <row r="4" spans="1:13" x14ac:dyDescent="0.3">
      <c r="A4" s="432" t="s">
        <v>276</v>
      </c>
      <c r="B4" s="432"/>
      <c r="C4" s="432"/>
      <c r="D4" s="432"/>
      <c r="E4" s="432"/>
      <c r="F4" s="432"/>
      <c r="G4" s="432"/>
      <c r="H4" s="432"/>
      <c r="I4" s="432"/>
      <c r="J4" s="432"/>
      <c r="K4" s="432"/>
      <c r="L4" s="432"/>
      <c r="M4" s="432"/>
    </row>
    <row r="5" spans="1:13" ht="30.75" customHeight="1" x14ac:dyDescent="0.3">
      <c r="A5" s="434" t="s">
        <v>321</v>
      </c>
      <c r="B5" s="434"/>
      <c r="C5" s="434"/>
      <c r="D5" s="434"/>
      <c r="E5" s="434"/>
      <c r="F5" s="434"/>
      <c r="G5" s="434"/>
      <c r="H5" s="434"/>
      <c r="I5" s="434"/>
      <c r="J5" s="434"/>
      <c r="K5" s="434"/>
      <c r="L5" s="434"/>
      <c r="M5" s="434"/>
    </row>
    <row r="6" spans="1:13" ht="16.8" hidden="1" x14ac:dyDescent="0.3">
      <c r="A6" s="435" t="s">
        <v>215</v>
      </c>
      <c r="B6" s="435"/>
      <c r="C6" s="435"/>
      <c r="D6" s="435"/>
      <c r="E6" s="435"/>
      <c r="F6" s="435"/>
      <c r="G6" s="435"/>
      <c r="H6" s="435"/>
      <c r="I6" s="435"/>
      <c r="J6" s="435"/>
    </row>
    <row r="7" spans="1:13" x14ac:dyDescent="0.3">
      <c r="E7" s="428"/>
      <c r="F7" s="428"/>
      <c r="G7" s="428"/>
      <c r="H7" s="428"/>
      <c r="I7" s="428"/>
      <c r="J7" s="428"/>
    </row>
    <row r="8" spans="1:13" s="29" customFormat="1" ht="92.25" customHeight="1" x14ac:dyDescent="0.3">
      <c r="A8" s="104" t="s">
        <v>0</v>
      </c>
      <c r="B8" s="104" t="s">
        <v>20</v>
      </c>
      <c r="C8" s="104" t="s">
        <v>216</v>
      </c>
      <c r="D8" s="104" t="s">
        <v>217</v>
      </c>
      <c r="E8" s="104" t="s">
        <v>218</v>
      </c>
      <c r="F8" s="104" t="s">
        <v>219</v>
      </c>
      <c r="G8" s="104" t="s">
        <v>220</v>
      </c>
      <c r="H8" s="104" t="s">
        <v>257</v>
      </c>
      <c r="I8" s="105" t="s">
        <v>314</v>
      </c>
      <c r="J8" s="139" t="s">
        <v>221</v>
      </c>
      <c r="K8" s="105" t="s">
        <v>315</v>
      </c>
      <c r="L8" s="105" t="s">
        <v>266</v>
      </c>
      <c r="M8" s="105" t="s">
        <v>513</v>
      </c>
    </row>
    <row r="9" spans="1:13" s="108" customFormat="1" x14ac:dyDescent="0.3">
      <c r="A9" s="107">
        <v>1</v>
      </c>
      <c r="B9" s="246">
        <v>2</v>
      </c>
      <c r="C9" s="107">
        <v>3</v>
      </c>
      <c r="D9" s="107">
        <v>4</v>
      </c>
      <c r="E9" s="107">
        <v>5</v>
      </c>
      <c r="F9" s="107">
        <v>6</v>
      </c>
      <c r="G9" s="107">
        <v>5</v>
      </c>
      <c r="H9" s="107">
        <v>6</v>
      </c>
      <c r="I9" s="107">
        <v>7</v>
      </c>
      <c r="J9" s="140">
        <v>8</v>
      </c>
      <c r="K9" s="155">
        <v>8</v>
      </c>
      <c r="L9" s="144">
        <v>9</v>
      </c>
      <c r="M9" s="107">
        <v>10</v>
      </c>
    </row>
    <row r="10" spans="1:13" s="108" customFormat="1" ht="20.25" hidden="1" customHeight="1" x14ac:dyDescent="0.3">
      <c r="A10" s="136"/>
      <c r="B10" s="247"/>
      <c r="C10" s="136"/>
      <c r="D10" s="136"/>
      <c r="E10" s="136"/>
      <c r="F10" s="136"/>
      <c r="G10" s="136"/>
      <c r="H10" s="136"/>
      <c r="I10" s="136"/>
      <c r="J10" s="141"/>
      <c r="K10" s="156"/>
      <c r="L10" s="145"/>
      <c r="M10" s="237"/>
    </row>
    <row r="11" spans="1:13" s="29" customFormat="1" hidden="1" x14ac:dyDescent="0.3">
      <c r="A11" s="109" t="s">
        <v>222</v>
      </c>
      <c r="B11" s="116" t="s">
        <v>318</v>
      </c>
      <c r="C11" s="109"/>
      <c r="D11" s="110"/>
      <c r="E11" s="111"/>
      <c r="F11" s="112"/>
      <c r="G11" s="112"/>
      <c r="H11" s="113"/>
      <c r="I11" s="100"/>
      <c r="J11" s="142"/>
      <c r="K11" s="156"/>
      <c r="L11" s="146"/>
      <c r="M11" s="238"/>
    </row>
    <row r="12" spans="1:13" s="29" customFormat="1" ht="93.6" hidden="1" x14ac:dyDescent="0.3">
      <c r="A12" s="92">
        <v>1</v>
      </c>
      <c r="B12" s="97" t="s">
        <v>259</v>
      </c>
      <c r="C12" s="92" t="s">
        <v>262</v>
      </c>
      <c r="D12" s="94" t="s">
        <v>263</v>
      </c>
      <c r="E12" s="95"/>
      <c r="F12" s="114"/>
      <c r="G12" s="94" t="s">
        <v>264</v>
      </c>
      <c r="H12" s="91"/>
      <c r="I12" s="99">
        <f>12000*22/10000</f>
        <v>26.4</v>
      </c>
      <c r="J12" s="143"/>
      <c r="K12" s="157">
        <f>12000*22/10000</f>
        <v>26.4</v>
      </c>
      <c r="L12" s="146" t="s">
        <v>267</v>
      </c>
      <c r="M12" s="238"/>
    </row>
    <row r="13" spans="1:13" s="29" customFormat="1" ht="31.2" hidden="1" x14ac:dyDescent="0.3">
      <c r="A13" s="92">
        <v>2</v>
      </c>
      <c r="B13" s="97" t="s">
        <v>260</v>
      </c>
      <c r="C13" s="92" t="s">
        <v>262</v>
      </c>
      <c r="D13" s="94" t="s">
        <v>263</v>
      </c>
      <c r="E13" s="95"/>
      <c r="F13" s="114"/>
      <c r="G13" s="94" t="s">
        <v>265</v>
      </c>
      <c r="H13" s="91"/>
      <c r="I13" s="99">
        <f>22*5600/10000</f>
        <v>12.32</v>
      </c>
      <c r="J13" s="143"/>
      <c r="K13" s="157">
        <f>22*5600/10000</f>
        <v>12.32</v>
      </c>
      <c r="L13" s="146" t="s">
        <v>267</v>
      </c>
      <c r="M13" s="238"/>
    </row>
    <row r="14" spans="1:13" s="29" customFormat="1" ht="31.2" hidden="1" x14ac:dyDescent="0.3">
      <c r="A14" s="92">
        <v>3</v>
      </c>
      <c r="B14" s="97" t="s">
        <v>308</v>
      </c>
      <c r="C14" s="92" t="s">
        <v>262</v>
      </c>
      <c r="D14" s="94" t="s">
        <v>263</v>
      </c>
      <c r="E14" s="95"/>
      <c r="F14" s="114"/>
      <c r="G14" s="94" t="s">
        <v>309</v>
      </c>
      <c r="H14" s="91"/>
      <c r="I14" s="99">
        <f>22*3800/10000</f>
        <v>8.36</v>
      </c>
      <c r="J14" s="143"/>
      <c r="K14" s="157">
        <f>22*3800/10000</f>
        <v>8.36</v>
      </c>
      <c r="L14" s="146">
        <v>2021</v>
      </c>
      <c r="M14" s="238"/>
    </row>
    <row r="15" spans="1:13" s="29" customFormat="1" ht="18.75" hidden="1" customHeight="1" x14ac:dyDescent="0.3">
      <c r="A15" s="158"/>
      <c r="B15" s="248" t="s">
        <v>319</v>
      </c>
      <c r="C15" s="158"/>
      <c r="D15" s="159"/>
      <c r="E15" s="148"/>
      <c r="F15" s="181"/>
      <c r="G15" s="159"/>
      <c r="H15" s="182"/>
      <c r="I15" s="183"/>
      <c r="J15" s="226"/>
      <c r="K15" s="227"/>
      <c r="L15" s="228"/>
      <c r="M15" s="238"/>
    </row>
    <row r="16" spans="1:13" s="123" customFormat="1" ht="31.2" x14ac:dyDescent="0.3">
      <c r="A16" s="191" t="s">
        <v>222</v>
      </c>
      <c r="B16" s="249" t="s">
        <v>324</v>
      </c>
      <c r="C16" s="172"/>
      <c r="D16" s="172"/>
      <c r="E16" s="173"/>
      <c r="F16" s="174"/>
      <c r="G16" s="174"/>
      <c r="H16" s="235"/>
      <c r="I16" s="235"/>
      <c r="J16" s="174"/>
      <c r="K16" s="155"/>
      <c r="L16" s="191"/>
      <c r="M16" s="260"/>
    </row>
    <row r="17" spans="1:13" s="29" customFormat="1" ht="52.5" customHeight="1" x14ac:dyDescent="0.3">
      <c r="A17" s="92">
        <v>1</v>
      </c>
      <c r="B17" s="93" t="s">
        <v>363</v>
      </c>
      <c r="C17" s="94" t="s">
        <v>364</v>
      </c>
      <c r="D17" s="94" t="s">
        <v>224</v>
      </c>
      <c r="E17" s="95"/>
      <c r="F17" s="96"/>
      <c r="G17" s="96" t="s">
        <v>461</v>
      </c>
      <c r="H17" s="124">
        <v>0</v>
      </c>
      <c r="I17" s="124">
        <f>(2300*20)/10000</f>
        <v>4.5999999999999996</v>
      </c>
      <c r="J17" s="124"/>
      <c r="K17" s="124">
        <f>+I17-H17</f>
        <v>4.5999999999999996</v>
      </c>
      <c r="L17" s="92" t="s">
        <v>317</v>
      </c>
      <c r="M17" s="98"/>
    </row>
    <row r="18" spans="1:13" s="29" customFormat="1" ht="15.75" hidden="1" customHeight="1" x14ac:dyDescent="0.3">
      <c r="A18" s="92"/>
      <c r="B18" s="250" t="s">
        <v>325</v>
      </c>
      <c r="C18" s="94"/>
      <c r="D18" s="94"/>
      <c r="E18" s="95"/>
      <c r="F18" s="96"/>
      <c r="G18" s="96"/>
      <c r="H18" s="90"/>
      <c r="I18" s="90"/>
      <c r="J18" s="96"/>
      <c r="K18" s="156"/>
      <c r="L18" s="92"/>
      <c r="M18" s="98"/>
    </row>
    <row r="19" spans="1:13" s="29" customFormat="1" ht="15.75" hidden="1" customHeight="1" x14ac:dyDescent="0.3">
      <c r="A19" s="92"/>
      <c r="B19" s="93" t="s">
        <v>326</v>
      </c>
      <c r="C19" s="94"/>
      <c r="D19" s="94"/>
      <c r="E19" s="95"/>
      <c r="F19" s="96"/>
      <c r="G19" s="96"/>
      <c r="H19" s="90"/>
      <c r="I19" s="90"/>
      <c r="J19" s="96"/>
      <c r="K19" s="156"/>
      <c r="L19" s="92"/>
      <c r="M19" s="98"/>
    </row>
    <row r="20" spans="1:13" s="123" customFormat="1" ht="31.2" x14ac:dyDescent="0.3">
      <c r="A20" s="109" t="s">
        <v>254</v>
      </c>
      <c r="B20" s="250" t="s">
        <v>327</v>
      </c>
      <c r="C20" s="116"/>
      <c r="D20" s="116"/>
      <c r="E20" s="111"/>
      <c r="F20" s="119"/>
      <c r="G20" s="119"/>
      <c r="H20" s="120"/>
      <c r="I20" s="120"/>
      <c r="J20" s="119"/>
      <c r="K20" s="156"/>
      <c r="L20" s="109"/>
      <c r="M20" s="110"/>
    </row>
    <row r="21" spans="1:13" s="29" customFormat="1" ht="42.75" customHeight="1" x14ac:dyDescent="0.3">
      <c r="A21" s="92">
        <f>+MAX($A$16:A20)+1</f>
        <v>2</v>
      </c>
      <c r="B21" s="93" t="s">
        <v>328</v>
      </c>
      <c r="C21" s="94" t="s">
        <v>331</v>
      </c>
      <c r="D21" s="94" t="s">
        <v>224</v>
      </c>
      <c r="E21" s="95"/>
      <c r="F21" s="96"/>
      <c r="G21" s="96" t="s">
        <v>378</v>
      </c>
      <c r="H21" s="124">
        <v>0</v>
      </c>
      <c r="I21" s="124">
        <f>2000*0.0012</f>
        <v>2.4</v>
      </c>
      <c r="J21" s="124"/>
      <c r="K21" s="124">
        <f>+I21-H21</f>
        <v>2.4</v>
      </c>
      <c r="L21" s="92" t="s">
        <v>317</v>
      </c>
      <c r="M21" s="98"/>
    </row>
    <row r="22" spans="1:13" s="29" customFormat="1" ht="54" customHeight="1" x14ac:dyDescent="0.3">
      <c r="A22" s="92">
        <f>+MAX($A$16:A21)+1</f>
        <v>3</v>
      </c>
      <c r="B22" s="93" t="s">
        <v>329</v>
      </c>
      <c r="C22" s="94" t="s">
        <v>330</v>
      </c>
      <c r="D22" s="94" t="s">
        <v>224</v>
      </c>
      <c r="E22" s="95"/>
      <c r="F22" s="96"/>
      <c r="G22" s="96" t="s">
        <v>462</v>
      </c>
      <c r="H22" s="124">
        <v>0</v>
      </c>
      <c r="I22" s="124">
        <f>3300*0.0015</f>
        <v>4.95</v>
      </c>
      <c r="J22" s="124"/>
      <c r="K22" s="124">
        <f>+I22-H22</f>
        <v>4.95</v>
      </c>
      <c r="L22" s="92" t="s">
        <v>317</v>
      </c>
      <c r="M22" s="98"/>
    </row>
    <row r="23" spans="1:13" s="29" customFormat="1" ht="31.2" hidden="1" x14ac:dyDescent="0.3">
      <c r="A23" s="92"/>
      <c r="B23" s="250" t="s">
        <v>344</v>
      </c>
      <c r="C23" s="94"/>
      <c r="D23" s="94"/>
      <c r="E23" s="95"/>
      <c r="F23" s="96"/>
      <c r="G23" s="96"/>
      <c r="H23" s="124"/>
      <c r="I23" s="124"/>
      <c r="J23" s="124"/>
      <c r="K23" s="124"/>
      <c r="L23" s="92"/>
      <c r="M23" s="98"/>
    </row>
    <row r="24" spans="1:13" s="29" customFormat="1" hidden="1" x14ac:dyDescent="0.3">
      <c r="A24" s="92"/>
      <c r="B24" s="93" t="s">
        <v>332</v>
      </c>
      <c r="C24" s="94"/>
      <c r="D24" s="94"/>
      <c r="E24" s="95"/>
      <c r="F24" s="96"/>
      <c r="G24" s="96"/>
      <c r="H24" s="124"/>
      <c r="I24" s="124"/>
      <c r="J24" s="124"/>
      <c r="K24" s="124"/>
      <c r="L24" s="92"/>
      <c r="M24" s="98"/>
    </row>
    <row r="25" spans="1:13" s="123" customFormat="1" ht="41.25" customHeight="1" x14ac:dyDescent="0.3">
      <c r="A25" s="109" t="s">
        <v>307</v>
      </c>
      <c r="B25" s="250" t="s">
        <v>333</v>
      </c>
      <c r="C25" s="116"/>
      <c r="D25" s="116"/>
      <c r="E25" s="111"/>
      <c r="F25" s="119"/>
      <c r="G25" s="119"/>
      <c r="H25" s="236"/>
      <c r="I25" s="236"/>
      <c r="J25" s="236"/>
      <c r="K25" s="236"/>
      <c r="L25" s="109"/>
      <c r="M25" s="110"/>
    </row>
    <row r="26" spans="1:13" s="29" customFormat="1" ht="41.25" customHeight="1" x14ac:dyDescent="0.3">
      <c r="A26" s="92">
        <f>+MAX($A$16:A25)+1</f>
        <v>4</v>
      </c>
      <c r="B26" s="93" t="s">
        <v>445</v>
      </c>
      <c r="C26" s="94" t="s">
        <v>334</v>
      </c>
      <c r="D26" s="94" t="s">
        <v>224</v>
      </c>
      <c r="E26" s="95"/>
      <c r="F26" s="96"/>
      <c r="G26" s="96" t="s">
        <v>463</v>
      </c>
      <c r="H26" s="124">
        <v>0</v>
      </c>
      <c r="I26" s="124">
        <f>2000*0.0015</f>
        <v>3</v>
      </c>
      <c r="J26" s="124"/>
      <c r="K26" s="124">
        <f>+I26-H26</f>
        <v>3</v>
      </c>
      <c r="L26" s="92" t="s">
        <v>317</v>
      </c>
      <c r="M26" s="98"/>
    </row>
    <row r="27" spans="1:13" s="123" customFormat="1" ht="41.25" customHeight="1" x14ac:dyDescent="0.3">
      <c r="A27" s="109" t="s">
        <v>345</v>
      </c>
      <c r="B27" s="115" t="s">
        <v>360</v>
      </c>
      <c r="C27" s="116"/>
      <c r="D27" s="116"/>
      <c r="E27" s="111"/>
      <c r="F27" s="119"/>
      <c r="G27" s="119"/>
      <c r="H27" s="120"/>
      <c r="I27" s="120"/>
      <c r="J27" s="119"/>
      <c r="K27" s="156"/>
      <c r="L27" s="109"/>
      <c r="M27" s="110"/>
    </row>
    <row r="28" spans="1:13" s="29" customFormat="1" ht="41.25" customHeight="1" x14ac:dyDescent="0.3">
      <c r="A28" s="92">
        <f>+MAX($A$16:A27)+1</f>
        <v>5</v>
      </c>
      <c r="B28" s="93" t="s">
        <v>361</v>
      </c>
      <c r="C28" s="94" t="s">
        <v>362</v>
      </c>
      <c r="D28" s="94" t="s">
        <v>224</v>
      </c>
      <c r="E28" s="95"/>
      <c r="F28" s="96"/>
      <c r="G28" s="96" t="s">
        <v>464</v>
      </c>
      <c r="H28" s="124">
        <v>0</v>
      </c>
      <c r="I28" s="124">
        <f>3900*(32+2*2+2*2)/10000</f>
        <v>15.6</v>
      </c>
      <c r="J28" s="124"/>
      <c r="K28" s="124">
        <f>+I28-H28</f>
        <v>15.6</v>
      </c>
      <c r="L28" s="92" t="s">
        <v>317</v>
      </c>
      <c r="M28" s="98"/>
    </row>
    <row r="29" spans="1:13" s="29" customFormat="1" ht="37.5" customHeight="1" x14ac:dyDescent="0.3">
      <c r="A29" s="92" t="s">
        <v>346</v>
      </c>
      <c r="B29" s="250" t="s">
        <v>335</v>
      </c>
      <c r="C29" s="94"/>
      <c r="D29" s="94"/>
      <c r="E29" s="95"/>
      <c r="F29" s="96"/>
      <c r="G29" s="96"/>
      <c r="H29" s="90"/>
      <c r="I29" s="90"/>
      <c r="J29" s="96"/>
      <c r="K29" s="124"/>
      <c r="L29" s="92"/>
      <c r="M29" s="98"/>
    </row>
    <row r="30" spans="1:13" s="29" customFormat="1" ht="19.5" customHeight="1" x14ac:dyDescent="0.3">
      <c r="A30" s="429">
        <f>+MAX($A$16:A29)+1</f>
        <v>6</v>
      </c>
      <c r="B30" s="430" t="s">
        <v>336</v>
      </c>
      <c r="C30" s="431" t="s">
        <v>337</v>
      </c>
      <c r="D30" s="431" t="s">
        <v>224</v>
      </c>
      <c r="E30" s="95"/>
      <c r="F30" s="96"/>
      <c r="G30" s="96" t="s">
        <v>351</v>
      </c>
      <c r="H30" s="124">
        <v>1.6</v>
      </c>
      <c r="I30" s="124">
        <v>2.4900000000000002</v>
      </c>
      <c r="J30" s="124"/>
      <c r="K30" s="124">
        <f>+I30-H30</f>
        <v>0.89000000000000012</v>
      </c>
      <c r="L30" s="92" t="s">
        <v>420</v>
      </c>
      <c r="M30" s="98"/>
    </row>
    <row r="31" spans="1:13" s="29" customFormat="1" ht="19.5" customHeight="1" x14ac:dyDescent="0.3">
      <c r="A31" s="429"/>
      <c r="B31" s="430"/>
      <c r="C31" s="431"/>
      <c r="D31" s="431"/>
      <c r="E31" s="95"/>
      <c r="F31" s="96"/>
      <c r="G31" s="96" t="s">
        <v>352</v>
      </c>
      <c r="H31" s="124">
        <v>3.14</v>
      </c>
      <c r="I31" s="124">
        <v>9.8699999999999992</v>
      </c>
      <c r="J31" s="124"/>
      <c r="K31" s="124">
        <f>+I31-H31</f>
        <v>6.7299999999999986</v>
      </c>
      <c r="L31" s="92" t="s">
        <v>420</v>
      </c>
      <c r="M31" s="98"/>
    </row>
    <row r="32" spans="1:13" s="29" customFormat="1" ht="19.5" customHeight="1" x14ac:dyDescent="0.3">
      <c r="A32" s="429"/>
      <c r="B32" s="430"/>
      <c r="C32" s="431"/>
      <c r="D32" s="431"/>
      <c r="E32" s="95"/>
      <c r="F32" s="96"/>
      <c r="G32" s="96" t="s">
        <v>353</v>
      </c>
      <c r="H32" s="124">
        <v>0.44</v>
      </c>
      <c r="I32" s="124">
        <v>1.97</v>
      </c>
      <c r="J32" s="124"/>
      <c r="K32" s="124">
        <f>+I32-H32</f>
        <v>1.53</v>
      </c>
      <c r="L32" s="92" t="s">
        <v>420</v>
      </c>
      <c r="M32" s="98"/>
    </row>
    <row r="33" spans="1:13" s="29" customFormat="1" ht="31.2" x14ac:dyDescent="0.3">
      <c r="A33" s="109" t="s">
        <v>347</v>
      </c>
      <c r="B33" s="250" t="s">
        <v>338</v>
      </c>
      <c r="C33" s="94"/>
      <c r="D33" s="94"/>
      <c r="E33" s="95"/>
      <c r="F33" s="96"/>
      <c r="G33" s="96"/>
      <c r="H33" s="90"/>
      <c r="I33" s="90"/>
      <c r="J33" s="96"/>
      <c r="K33" s="156"/>
      <c r="L33" s="92"/>
      <c r="M33" s="98"/>
    </row>
    <row r="34" spans="1:13" s="84" customFormat="1" ht="31.2" x14ac:dyDescent="0.3">
      <c r="A34" s="92">
        <f>+MAX($A$16:A33)+1</f>
        <v>7</v>
      </c>
      <c r="B34" s="251" t="s">
        <v>390</v>
      </c>
      <c r="C34" s="87"/>
      <c r="D34" s="87" t="s">
        <v>224</v>
      </c>
      <c r="E34" s="88"/>
      <c r="F34" s="89"/>
      <c r="G34" s="89" t="s">
        <v>391</v>
      </c>
      <c r="H34" s="126">
        <v>3.15</v>
      </c>
      <c r="I34" s="126">
        <f>I35</f>
        <v>2</v>
      </c>
      <c r="J34" s="89"/>
      <c r="K34" s="126">
        <v>0</v>
      </c>
      <c r="L34" s="92" t="s">
        <v>420</v>
      </c>
      <c r="M34" s="223"/>
    </row>
    <row r="35" spans="1:13" s="84" customFormat="1" ht="46.8" x14ac:dyDescent="0.3">
      <c r="A35" s="92">
        <f>+MAX($A$16:A34)+1</f>
        <v>8</v>
      </c>
      <c r="B35" s="252" t="s">
        <v>446</v>
      </c>
      <c r="C35" s="87"/>
      <c r="D35" s="87"/>
      <c r="E35" s="88"/>
      <c r="F35" s="89"/>
      <c r="G35" s="89"/>
      <c r="H35" s="126"/>
      <c r="I35" s="126">
        <v>2</v>
      </c>
      <c r="J35" s="89"/>
      <c r="K35" s="126"/>
      <c r="L35" s="85"/>
      <c r="M35" s="252" t="s">
        <v>505</v>
      </c>
    </row>
    <row r="36" spans="1:13" s="84" customFormat="1" ht="71.25" customHeight="1" x14ac:dyDescent="0.3">
      <c r="A36" s="85"/>
      <c r="B36" s="253" t="s">
        <v>366</v>
      </c>
      <c r="C36" s="87"/>
      <c r="D36" s="87" t="s">
        <v>224</v>
      </c>
      <c r="E36" s="88"/>
      <c r="F36" s="89"/>
      <c r="G36" s="89" t="s">
        <v>374</v>
      </c>
      <c r="H36" s="126">
        <v>1.45</v>
      </c>
      <c r="I36" s="126">
        <v>2.63</v>
      </c>
      <c r="J36" s="89"/>
      <c r="K36" s="126">
        <f>I36-H36</f>
        <v>1.18</v>
      </c>
      <c r="L36" s="92" t="s">
        <v>420</v>
      </c>
      <c r="M36" s="261" t="s">
        <v>472</v>
      </c>
    </row>
    <row r="37" spans="1:13" s="84" customFormat="1" ht="71.25" customHeight="1" x14ac:dyDescent="0.3">
      <c r="A37" s="92">
        <f>+MAX($A$16:A36)+1</f>
        <v>9</v>
      </c>
      <c r="B37" s="230" t="s">
        <v>447</v>
      </c>
      <c r="C37" s="87"/>
      <c r="D37" s="87"/>
      <c r="E37" s="88"/>
      <c r="F37" s="89"/>
      <c r="G37" s="89"/>
      <c r="H37" s="126"/>
      <c r="I37" s="126">
        <v>2.63</v>
      </c>
      <c r="J37" s="89"/>
      <c r="K37" s="126"/>
      <c r="L37" s="85"/>
      <c r="M37" s="252" t="s">
        <v>514</v>
      </c>
    </row>
    <row r="38" spans="1:13" s="84" customFormat="1" ht="31.2" x14ac:dyDescent="0.3">
      <c r="A38" s="85"/>
      <c r="B38" s="253" t="s">
        <v>367</v>
      </c>
      <c r="C38" s="87"/>
      <c r="D38" s="87" t="s">
        <v>224</v>
      </c>
      <c r="E38" s="88"/>
      <c r="F38" s="89"/>
      <c r="G38" s="89" t="s">
        <v>375</v>
      </c>
      <c r="H38" s="126">
        <v>3.88</v>
      </c>
      <c r="I38" s="126">
        <f>SUM(I39:I43)</f>
        <v>7.1666000000000007</v>
      </c>
      <c r="J38" s="89"/>
      <c r="K38" s="126">
        <f>I38-H38</f>
        <v>3.2866000000000009</v>
      </c>
      <c r="L38" s="92" t="s">
        <v>420</v>
      </c>
      <c r="M38" s="223"/>
    </row>
    <row r="39" spans="1:13" s="84" customFormat="1" ht="31.2" x14ac:dyDescent="0.3">
      <c r="A39" s="92">
        <f>+MAX($A$16:A38)+1</f>
        <v>10</v>
      </c>
      <c r="B39" s="230" t="s">
        <v>448</v>
      </c>
      <c r="C39" s="87"/>
      <c r="D39" s="87"/>
      <c r="E39" s="88"/>
      <c r="F39" s="89"/>
      <c r="G39" s="89"/>
      <c r="H39" s="126"/>
      <c r="I39" s="126">
        <v>1.1240000000000001</v>
      </c>
      <c r="J39" s="89"/>
      <c r="K39" s="126"/>
      <c r="L39" s="85"/>
      <c r="M39" s="262" t="s">
        <v>473</v>
      </c>
    </row>
    <row r="40" spans="1:13" s="84" customFormat="1" ht="31.2" x14ac:dyDescent="0.3">
      <c r="A40" s="92">
        <f>+MAX($A$16:A39)+1</f>
        <v>11</v>
      </c>
      <c r="B40" s="230" t="s">
        <v>449</v>
      </c>
      <c r="C40" s="87"/>
      <c r="D40" s="87"/>
      <c r="E40" s="88"/>
      <c r="F40" s="89"/>
      <c r="G40" s="89"/>
      <c r="H40" s="126"/>
      <c r="I40" s="126">
        <v>0.68100000000000005</v>
      </c>
      <c r="J40" s="89"/>
      <c r="K40" s="126"/>
      <c r="L40" s="85"/>
      <c r="M40" s="262" t="s">
        <v>474</v>
      </c>
    </row>
    <row r="41" spans="1:13" s="84" customFormat="1" ht="31.2" x14ac:dyDescent="0.3">
      <c r="A41" s="92">
        <f>+MAX($A$16:A40)+1</f>
        <v>12</v>
      </c>
      <c r="B41" s="230" t="s">
        <v>450</v>
      </c>
      <c r="C41" s="87"/>
      <c r="D41" s="87"/>
      <c r="E41" s="88"/>
      <c r="F41" s="89"/>
      <c r="G41" s="89"/>
      <c r="H41" s="126"/>
      <c r="I41" s="126">
        <v>0.1036</v>
      </c>
      <c r="J41" s="89"/>
      <c r="K41" s="126"/>
      <c r="L41" s="85"/>
      <c r="M41" s="263" t="s">
        <v>475</v>
      </c>
    </row>
    <row r="42" spans="1:13" s="84" customFormat="1" ht="93.6" x14ac:dyDescent="0.3">
      <c r="A42" s="92">
        <f>+MAX($A$16:A41)+1</f>
        <v>13</v>
      </c>
      <c r="B42" s="230" t="s">
        <v>451</v>
      </c>
      <c r="C42" s="87"/>
      <c r="D42" s="87"/>
      <c r="E42" s="88"/>
      <c r="F42" s="89"/>
      <c r="G42" s="89"/>
      <c r="H42" s="126"/>
      <c r="I42" s="126">
        <v>3.7250000000000001</v>
      </c>
      <c r="J42" s="89"/>
      <c r="K42" s="126"/>
      <c r="L42" s="85"/>
      <c r="M42" s="262" t="s">
        <v>476</v>
      </c>
    </row>
    <row r="43" spans="1:13" s="84" customFormat="1" ht="62.4" x14ac:dyDescent="0.3">
      <c r="A43" s="92">
        <f>+MAX($A$16:A42)+1</f>
        <v>14</v>
      </c>
      <c r="B43" s="230" t="s">
        <v>452</v>
      </c>
      <c r="C43" s="87"/>
      <c r="D43" s="87"/>
      <c r="E43" s="88"/>
      <c r="F43" s="89"/>
      <c r="G43" s="89"/>
      <c r="H43" s="126"/>
      <c r="I43" s="126">
        <v>1.5329999999999999</v>
      </c>
      <c r="J43" s="89"/>
      <c r="K43" s="126"/>
      <c r="L43" s="85"/>
      <c r="M43" s="262" t="s">
        <v>477</v>
      </c>
    </row>
    <row r="44" spans="1:13" s="84" customFormat="1" ht="31.2" x14ac:dyDescent="0.3">
      <c r="A44" s="85"/>
      <c r="B44" s="253" t="s">
        <v>368</v>
      </c>
      <c r="C44" s="87"/>
      <c r="D44" s="87" t="s">
        <v>224</v>
      </c>
      <c r="E44" s="88"/>
      <c r="F44" s="89"/>
      <c r="G44" s="89" t="s">
        <v>376</v>
      </c>
      <c r="H44" s="126">
        <v>1.7</v>
      </c>
      <c r="I44" s="126">
        <f>SUM(I45:I47)</f>
        <v>3.2541000000000002</v>
      </c>
      <c r="J44" s="89"/>
      <c r="K44" s="126">
        <f>I44-H44</f>
        <v>1.5541000000000003</v>
      </c>
      <c r="L44" s="92" t="s">
        <v>420</v>
      </c>
      <c r="M44" s="223"/>
    </row>
    <row r="45" spans="1:13" s="84" customFormat="1" ht="46.8" x14ac:dyDescent="0.3">
      <c r="A45" s="92">
        <f>+MAX($A$16:A44)+1</f>
        <v>15</v>
      </c>
      <c r="B45" s="230" t="s">
        <v>453</v>
      </c>
      <c r="C45" s="87"/>
      <c r="D45" s="87"/>
      <c r="E45" s="88"/>
      <c r="F45" s="89"/>
      <c r="G45" s="89"/>
      <c r="H45" s="126"/>
      <c r="I45" s="126">
        <v>1.556</v>
      </c>
      <c r="J45" s="89"/>
      <c r="K45" s="126"/>
      <c r="L45" s="85"/>
      <c r="M45" s="262" t="s">
        <v>504</v>
      </c>
    </row>
    <row r="46" spans="1:13" s="84" customFormat="1" ht="31.2" x14ac:dyDescent="0.3">
      <c r="A46" s="92">
        <f>+MAX($A$16:A45)+1</f>
        <v>16</v>
      </c>
      <c r="B46" s="230" t="s">
        <v>454</v>
      </c>
      <c r="C46" s="87"/>
      <c r="D46" s="87"/>
      <c r="E46" s="88"/>
      <c r="F46" s="89"/>
      <c r="G46" s="89"/>
      <c r="H46" s="126"/>
      <c r="I46" s="126">
        <v>0.31</v>
      </c>
      <c r="J46" s="89"/>
      <c r="K46" s="126"/>
      <c r="L46" s="85"/>
      <c r="M46" s="262" t="s">
        <v>503</v>
      </c>
    </row>
    <row r="47" spans="1:13" s="84" customFormat="1" ht="31.2" x14ac:dyDescent="0.3">
      <c r="A47" s="92">
        <f>+MAX($A$16:A46)+1</f>
        <v>17</v>
      </c>
      <c r="B47" s="230" t="s">
        <v>455</v>
      </c>
      <c r="C47" s="87"/>
      <c r="D47" s="87"/>
      <c r="E47" s="88"/>
      <c r="F47" s="89"/>
      <c r="G47" s="89"/>
      <c r="H47" s="126"/>
      <c r="I47" s="126">
        <v>1.3880999999999999</v>
      </c>
      <c r="J47" s="89"/>
      <c r="K47" s="126"/>
      <c r="L47" s="85"/>
      <c r="M47" s="262" t="s">
        <v>502</v>
      </c>
    </row>
    <row r="48" spans="1:13" s="84" customFormat="1" ht="31.2" x14ac:dyDescent="0.3">
      <c r="A48" s="85"/>
      <c r="B48" s="254" t="s">
        <v>369</v>
      </c>
      <c r="C48" s="87"/>
      <c r="D48" s="87" t="s">
        <v>224</v>
      </c>
      <c r="E48" s="88"/>
      <c r="F48" s="89"/>
      <c r="G48" s="89" t="s">
        <v>377</v>
      </c>
      <c r="H48" s="126">
        <v>0.87</v>
      </c>
      <c r="I48" s="126">
        <f>I49</f>
        <v>0.87</v>
      </c>
      <c r="J48" s="89"/>
      <c r="K48" s="126">
        <f>I48-H48</f>
        <v>0</v>
      </c>
      <c r="L48" s="92" t="s">
        <v>420</v>
      </c>
      <c r="M48" s="223"/>
    </row>
    <row r="49" spans="1:256" s="84" customFormat="1" ht="31.2" x14ac:dyDescent="0.3">
      <c r="A49" s="92">
        <f>+MAX($A$16:A48)+1</f>
        <v>18</v>
      </c>
      <c r="B49" s="230" t="s">
        <v>456</v>
      </c>
      <c r="C49" s="87"/>
      <c r="D49" s="87"/>
      <c r="E49" s="88"/>
      <c r="F49" s="89"/>
      <c r="G49" s="89"/>
      <c r="H49" s="126"/>
      <c r="I49" s="126">
        <v>0.87</v>
      </c>
      <c r="J49" s="89"/>
      <c r="K49" s="126"/>
      <c r="L49" s="85"/>
      <c r="M49" s="262" t="s">
        <v>501</v>
      </c>
    </row>
    <row r="50" spans="1:256" s="84" customFormat="1" ht="31.2" x14ac:dyDescent="0.3">
      <c r="A50" s="85"/>
      <c r="B50" s="253" t="s">
        <v>370</v>
      </c>
      <c r="C50" s="87"/>
      <c r="D50" s="87" t="s">
        <v>224</v>
      </c>
      <c r="E50" s="88"/>
      <c r="F50" s="89"/>
      <c r="G50" s="89" t="s">
        <v>378</v>
      </c>
      <c r="H50" s="126">
        <v>2.2000000000000002</v>
      </c>
      <c r="I50" s="126">
        <f>SUM(I51:I52)</f>
        <v>3.83</v>
      </c>
      <c r="J50" s="89"/>
      <c r="K50" s="126">
        <f>I50-H50</f>
        <v>1.63</v>
      </c>
      <c r="L50" s="92" t="s">
        <v>420</v>
      </c>
      <c r="M50" s="261"/>
    </row>
    <row r="51" spans="1:256" s="84" customFormat="1" ht="31.2" x14ac:dyDescent="0.3">
      <c r="A51" s="92">
        <f>+MAX($A$16:A50)+1</f>
        <v>19</v>
      </c>
      <c r="B51" s="230" t="s">
        <v>457</v>
      </c>
      <c r="C51" s="87"/>
      <c r="D51" s="87"/>
      <c r="E51" s="88"/>
      <c r="F51" s="89"/>
      <c r="G51" s="89"/>
      <c r="H51" s="126"/>
      <c r="I51" s="126">
        <v>2.6</v>
      </c>
      <c r="J51" s="89"/>
      <c r="K51" s="126"/>
      <c r="L51" s="85"/>
      <c r="M51" s="426" t="s">
        <v>515</v>
      </c>
    </row>
    <row r="52" spans="1:256" s="84" customFormat="1" ht="31.2" x14ac:dyDescent="0.3">
      <c r="A52" s="92">
        <f>+MAX($A$16:A51)+1</f>
        <v>20</v>
      </c>
      <c r="B52" s="230" t="s">
        <v>458</v>
      </c>
      <c r="C52" s="87"/>
      <c r="D52" s="87"/>
      <c r="E52" s="88"/>
      <c r="F52" s="89"/>
      <c r="G52" s="221"/>
      <c r="H52" s="126"/>
      <c r="I52" s="126">
        <v>1.23</v>
      </c>
      <c r="J52" s="89"/>
      <c r="K52" s="126"/>
      <c r="L52" s="85"/>
      <c r="M52" s="427"/>
    </row>
    <row r="53" spans="1:256" s="84" customFormat="1" ht="31.2" x14ac:dyDescent="0.3">
      <c r="A53" s="85"/>
      <c r="B53" s="254" t="s">
        <v>371</v>
      </c>
      <c r="C53" s="87"/>
      <c r="D53" s="87" t="s">
        <v>224</v>
      </c>
      <c r="E53" s="88"/>
      <c r="F53" s="89"/>
      <c r="G53" s="89" t="s">
        <v>379</v>
      </c>
      <c r="H53" s="126">
        <v>1.84</v>
      </c>
      <c r="I53" s="126">
        <v>4.6500000000000004</v>
      </c>
      <c r="J53" s="89"/>
      <c r="K53" s="126">
        <f>I53-H53</f>
        <v>2.8100000000000005</v>
      </c>
      <c r="L53" s="85" t="s">
        <v>420</v>
      </c>
      <c r="M53" s="223"/>
    </row>
    <row r="54" spans="1:256" s="84" customFormat="1" ht="31.2" x14ac:dyDescent="0.3">
      <c r="A54" s="92">
        <f>+MAX($A$16:A53)+1</f>
        <v>21</v>
      </c>
      <c r="B54" s="230" t="s">
        <v>516</v>
      </c>
      <c r="C54" s="87"/>
      <c r="D54" s="87"/>
      <c r="E54" s="88"/>
      <c r="F54" s="89"/>
      <c r="G54" s="89"/>
      <c r="H54" s="126"/>
      <c r="I54" s="126">
        <v>4.6500000000000004</v>
      </c>
      <c r="J54" s="89"/>
      <c r="K54" s="126"/>
      <c r="L54" s="85"/>
      <c r="M54" s="261" t="s">
        <v>478</v>
      </c>
    </row>
    <row r="55" spans="1:256" s="84" customFormat="1" ht="31.2" x14ac:dyDescent="0.3">
      <c r="A55" s="85"/>
      <c r="B55" s="254" t="s">
        <v>372</v>
      </c>
      <c r="C55" s="87"/>
      <c r="D55" s="87" t="s">
        <v>224</v>
      </c>
      <c r="E55" s="88"/>
      <c r="F55" s="89"/>
      <c r="G55" s="89" t="s">
        <v>380</v>
      </c>
      <c r="H55" s="126">
        <v>0.36</v>
      </c>
      <c r="I55" s="126">
        <v>0.8</v>
      </c>
      <c r="J55" s="89"/>
      <c r="K55" s="126">
        <f>I55-H55</f>
        <v>0.44000000000000006</v>
      </c>
      <c r="L55" s="92" t="s">
        <v>420</v>
      </c>
      <c r="M55" s="223"/>
    </row>
    <row r="56" spans="1:256" s="84" customFormat="1" ht="31.2" x14ac:dyDescent="0.3">
      <c r="A56" s="92">
        <f>+MAX($A$16:A55)+1</f>
        <v>22</v>
      </c>
      <c r="B56" s="230" t="s">
        <v>517</v>
      </c>
      <c r="C56" s="87"/>
      <c r="D56" s="87"/>
      <c r="E56" s="88"/>
      <c r="F56" s="89"/>
      <c r="G56" s="89"/>
      <c r="H56" s="126"/>
      <c r="I56" s="126">
        <v>0.8</v>
      </c>
      <c r="J56" s="89"/>
      <c r="K56" s="126"/>
      <c r="L56" s="85"/>
      <c r="M56" s="261" t="s">
        <v>479</v>
      </c>
    </row>
    <row r="57" spans="1:256" s="84" customFormat="1" ht="31.2" x14ac:dyDescent="0.3">
      <c r="A57" s="85"/>
      <c r="B57" s="254" t="s">
        <v>373</v>
      </c>
      <c r="C57" s="87"/>
      <c r="D57" s="87" t="s">
        <v>224</v>
      </c>
      <c r="E57" s="88"/>
      <c r="F57" s="89"/>
      <c r="G57" s="89" t="s">
        <v>381</v>
      </c>
      <c r="H57" s="126">
        <v>0.78</v>
      </c>
      <c r="I57" s="126">
        <v>1.47</v>
      </c>
      <c r="J57" s="89"/>
      <c r="K57" s="126">
        <f>I57-H57</f>
        <v>0.69</v>
      </c>
      <c r="L57" s="92" t="s">
        <v>420</v>
      </c>
      <c r="M57" s="223"/>
    </row>
    <row r="58" spans="1:256" s="84" customFormat="1" ht="31.2" x14ac:dyDescent="0.3">
      <c r="A58" s="92">
        <f>+MAX($A$16:A57)+1</f>
        <v>23</v>
      </c>
      <c r="B58" s="230" t="s">
        <v>518</v>
      </c>
      <c r="C58" s="87"/>
      <c r="D58" s="87"/>
      <c r="E58" s="88"/>
      <c r="F58" s="89"/>
      <c r="G58" s="89"/>
      <c r="H58" s="163"/>
      <c r="I58" s="126">
        <v>1.47</v>
      </c>
      <c r="J58" s="89"/>
      <c r="K58" s="222"/>
      <c r="L58" s="85"/>
      <c r="M58" s="261" t="s">
        <v>480</v>
      </c>
    </row>
    <row r="59" spans="1:256" s="84" customFormat="1" ht="31.2" x14ac:dyDescent="0.3">
      <c r="A59" s="224" t="s">
        <v>348</v>
      </c>
      <c r="B59" s="255" t="s">
        <v>339</v>
      </c>
      <c r="C59" s="223"/>
      <c r="D59" s="223"/>
      <c r="E59" s="223"/>
      <c r="F59" s="223"/>
      <c r="G59" s="223"/>
      <c r="H59" s="223"/>
      <c r="I59" s="223"/>
      <c r="J59" s="223"/>
      <c r="K59" s="225"/>
      <c r="L59" s="223"/>
      <c r="M59" s="223"/>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223"/>
      <c r="BR59" s="223"/>
      <c r="BS59" s="223"/>
      <c r="BT59" s="223"/>
      <c r="BU59" s="223"/>
      <c r="BV59" s="223"/>
      <c r="BW59" s="223"/>
      <c r="BX59" s="223"/>
      <c r="BY59" s="223"/>
      <c r="BZ59" s="223"/>
      <c r="CA59" s="223"/>
      <c r="CB59" s="223"/>
      <c r="CC59" s="223"/>
      <c r="CD59" s="223"/>
      <c r="CE59" s="223"/>
      <c r="CF59" s="223"/>
      <c r="CG59" s="223"/>
      <c r="CH59" s="223"/>
      <c r="CI59" s="223"/>
      <c r="CJ59" s="223"/>
      <c r="CK59" s="223"/>
      <c r="CL59" s="223"/>
      <c r="CM59" s="223"/>
      <c r="CN59" s="223"/>
      <c r="CO59" s="223"/>
      <c r="CP59" s="223"/>
      <c r="CQ59" s="223"/>
      <c r="CR59" s="223"/>
      <c r="CS59" s="223"/>
      <c r="CT59" s="223"/>
      <c r="CU59" s="223"/>
      <c r="CV59" s="223"/>
      <c r="CW59" s="223"/>
      <c r="CX59" s="223"/>
      <c r="CY59" s="223"/>
      <c r="CZ59" s="223"/>
      <c r="DA59" s="223"/>
      <c r="DB59" s="223"/>
      <c r="DC59" s="223"/>
      <c r="DD59" s="223"/>
      <c r="DE59" s="223"/>
      <c r="DF59" s="223"/>
      <c r="DG59" s="223"/>
      <c r="DH59" s="223"/>
      <c r="DI59" s="223"/>
      <c r="DJ59" s="223"/>
      <c r="DK59" s="223"/>
      <c r="DL59" s="223"/>
      <c r="DM59" s="223"/>
      <c r="DN59" s="223"/>
      <c r="DO59" s="223"/>
      <c r="DP59" s="223"/>
      <c r="DQ59" s="223"/>
      <c r="DR59" s="223"/>
      <c r="DS59" s="223"/>
      <c r="DT59" s="223"/>
      <c r="DU59" s="223"/>
      <c r="DV59" s="223"/>
      <c r="DW59" s="223"/>
      <c r="DX59" s="223"/>
      <c r="DY59" s="223"/>
      <c r="DZ59" s="223"/>
      <c r="EA59" s="223"/>
      <c r="EB59" s="223"/>
      <c r="EC59" s="223"/>
      <c r="ED59" s="223"/>
      <c r="EE59" s="223"/>
      <c r="EF59" s="223"/>
      <c r="EG59" s="223"/>
      <c r="EH59" s="223"/>
      <c r="EI59" s="223"/>
      <c r="EJ59" s="223"/>
      <c r="EK59" s="223"/>
      <c r="EL59" s="223"/>
      <c r="EM59" s="223"/>
      <c r="EN59" s="223"/>
      <c r="EO59" s="223"/>
      <c r="EP59" s="223"/>
      <c r="EQ59" s="223"/>
      <c r="ER59" s="223"/>
      <c r="ES59" s="223"/>
      <c r="ET59" s="223"/>
      <c r="EU59" s="223"/>
      <c r="EV59" s="223"/>
      <c r="EW59" s="223"/>
      <c r="EX59" s="223"/>
      <c r="EY59" s="223"/>
      <c r="EZ59" s="223"/>
      <c r="FA59" s="223"/>
      <c r="FB59" s="223"/>
      <c r="FC59" s="223"/>
      <c r="FD59" s="223"/>
      <c r="FE59" s="223"/>
      <c r="FF59" s="223"/>
      <c r="FG59" s="223"/>
      <c r="FH59" s="223"/>
      <c r="FI59" s="223"/>
      <c r="FJ59" s="223"/>
      <c r="FK59" s="223"/>
      <c r="FL59" s="223"/>
      <c r="FM59" s="223"/>
      <c r="FN59" s="223"/>
      <c r="FO59" s="223"/>
      <c r="FP59" s="223"/>
      <c r="FQ59" s="223"/>
      <c r="FR59" s="223"/>
      <c r="FS59" s="223"/>
      <c r="FT59" s="223"/>
      <c r="FU59" s="223"/>
      <c r="FV59" s="223"/>
      <c r="FW59" s="223"/>
      <c r="FX59" s="223"/>
      <c r="FY59" s="223"/>
      <c r="FZ59" s="223"/>
      <c r="GA59" s="223"/>
      <c r="GB59" s="223"/>
      <c r="GC59" s="223"/>
      <c r="GD59" s="223"/>
      <c r="GE59" s="223"/>
      <c r="GF59" s="223"/>
      <c r="GG59" s="223"/>
      <c r="GH59" s="223"/>
      <c r="GI59" s="223"/>
      <c r="GJ59" s="223"/>
      <c r="GK59" s="223"/>
      <c r="GL59" s="223"/>
      <c r="GM59" s="223"/>
      <c r="GN59" s="223"/>
      <c r="GO59" s="223"/>
      <c r="GP59" s="223"/>
      <c r="GQ59" s="223"/>
      <c r="GR59" s="223"/>
      <c r="GS59" s="223"/>
      <c r="GT59" s="223"/>
      <c r="GU59" s="223"/>
      <c r="GV59" s="223"/>
      <c r="GW59" s="223"/>
      <c r="GX59" s="223"/>
      <c r="GY59" s="223"/>
      <c r="GZ59" s="223"/>
      <c r="HA59" s="223"/>
      <c r="HB59" s="223"/>
      <c r="HC59" s="223"/>
      <c r="HD59" s="223"/>
      <c r="HE59" s="223"/>
      <c r="HF59" s="223"/>
      <c r="HG59" s="223"/>
      <c r="HH59" s="223"/>
      <c r="HI59" s="223"/>
      <c r="HJ59" s="223"/>
      <c r="HK59" s="223"/>
      <c r="HL59" s="223"/>
      <c r="HM59" s="223"/>
      <c r="HN59" s="223"/>
      <c r="HO59" s="223"/>
      <c r="HP59" s="223"/>
      <c r="HQ59" s="223"/>
      <c r="HR59" s="223"/>
      <c r="HS59" s="223"/>
      <c r="HT59" s="223"/>
      <c r="HU59" s="223"/>
      <c r="HV59" s="223"/>
      <c r="HW59" s="223"/>
      <c r="HX59" s="223"/>
      <c r="HY59" s="223"/>
      <c r="HZ59" s="223"/>
      <c r="IA59" s="223"/>
      <c r="IB59" s="223"/>
      <c r="IC59" s="223"/>
      <c r="ID59" s="223"/>
      <c r="IE59" s="223"/>
      <c r="IF59" s="223"/>
      <c r="IG59" s="223"/>
      <c r="IH59" s="223"/>
      <c r="II59" s="223"/>
      <c r="IJ59" s="223"/>
      <c r="IK59" s="223"/>
      <c r="IL59" s="223"/>
      <c r="IM59" s="223"/>
      <c r="IN59" s="223"/>
      <c r="IO59" s="223"/>
      <c r="IP59" s="223"/>
      <c r="IQ59" s="223"/>
      <c r="IR59" s="223"/>
      <c r="IS59" s="223"/>
      <c r="IT59" s="223"/>
      <c r="IU59" s="223"/>
      <c r="IV59" s="223"/>
    </row>
    <row r="60" spans="1:256" s="84" customFormat="1" ht="31.2" x14ac:dyDescent="0.3">
      <c r="A60" s="92">
        <f>+MAX($A$16:A59)+1</f>
        <v>24</v>
      </c>
      <c r="B60" s="86" t="s">
        <v>340</v>
      </c>
      <c r="C60" s="85" t="s">
        <v>341</v>
      </c>
      <c r="D60" s="87" t="s">
        <v>224</v>
      </c>
      <c r="E60" s="223"/>
      <c r="F60" s="223"/>
      <c r="G60" s="85" t="s">
        <v>459</v>
      </c>
      <c r="H60" s="126">
        <v>0</v>
      </c>
      <c r="I60" s="126">
        <v>1.57</v>
      </c>
      <c r="J60" s="126"/>
      <c r="K60" s="126">
        <f>I60-H60</f>
        <v>1.57</v>
      </c>
      <c r="L60" s="92" t="s">
        <v>420</v>
      </c>
      <c r="M60" s="223"/>
    </row>
    <row r="61" spans="1:256" s="29" customFormat="1" ht="19.5" customHeight="1" x14ac:dyDescent="0.3">
      <c r="A61" s="109" t="s">
        <v>349</v>
      </c>
      <c r="B61" s="250" t="s">
        <v>323</v>
      </c>
      <c r="C61" s="94"/>
      <c r="D61" s="94"/>
      <c r="E61" s="95"/>
      <c r="F61" s="96"/>
      <c r="G61" s="96"/>
      <c r="H61" s="90"/>
      <c r="I61" s="90"/>
      <c r="J61" s="96"/>
      <c r="K61" s="156"/>
      <c r="L61" s="92"/>
      <c r="M61" s="98"/>
    </row>
    <row r="62" spans="1:256" s="29" customFormat="1" ht="40.5" customHeight="1" x14ac:dyDescent="0.3">
      <c r="A62" s="92">
        <f>+MAX($A$16:A61)+1</f>
        <v>25</v>
      </c>
      <c r="B62" s="93" t="s">
        <v>342</v>
      </c>
      <c r="C62" s="94" t="s">
        <v>343</v>
      </c>
      <c r="D62" s="94" t="s">
        <v>224</v>
      </c>
      <c r="E62" s="95"/>
      <c r="F62" s="96"/>
      <c r="G62" s="96" t="s">
        <v>460</v>
      </c>
      <c r="H62" s="124">
        <v>0.3</v>
      </c>
      <c r="I62" s="124">
        <v>2.214</v>
      </c>
      <c r="J62" s="124"/>
      <c r="K62" s="124">
        <f>I62-H62</f>
        <v>1.9139999999999999</v>
      </c>
      <c r="L62" s="92" t="s">
        <v>420</v>
      </c>
      <c r="M62" s="98"/>
    </row>
    <row r="63" spans="1:256" s="29" customFormat="1" ht="66" customHeight="1" x14ac:dyDescent="0.3">
      <c r="A63" s="92">
        <f>+MAX($A$16:A62)+1</f>
        <v>26</v>
      </c>
      <c r="B63" s="117" t="s">
        <v>273</v>
      </c>
      <c r="C63" s="94" t="s">
        <v>356</v>
      </c>
      <c r="D63" s="94" t="s">
        <v>224</v>
      </c>
      <c r="E63" s="118"/>
      <c r="F63" s="92"/>
      <c r="G63" s="96" t="s">
        <v>519</v>
      </c>
      <c r="H63" s="124">
        <v>5</v>
      </c>
      <c r="I63" s="124">
        <f>2.6*15/10</f>
        <v>3.9</v>
      </c>
      <c r="J63" s="124"/>
      <c r="K63" s="124">
        <v>0</v>
      </c>
      <c r="L63" s="92" t="s">
        <v>420</v>
      </c>
      <c r="M63" s="98"/>
    </row>
    <row r="64" spans="1:256" s="29" customFormat="1" ht="19.5" customHeight="1" x14ac:dyDescent="0.3">
      <c r="A64" s="109" t="s">
        <v>350</v>
      </c>
      <c r="B64" s="250" t="s">
        <v>322</v>
      </c>
      <c r="C64" s="94"/>
      <c r="D64" s="94"/>
      <c r="E64" s="95"/>
      <c r="F64" s="96"/>
      <c r="G64" s="96"/>
      <c r="H64" s="124"/>
      <c r="I64" s="124"/>
      <c r="J64" s="124"/>
      <c r="K64" s="124"/>
      <c r="L64" s="92"/>
      <c r="M64" s="98"/>
    </row>
    <row r="65" spans="1:13" s="29" customFormat="1" ht="40.5" customHeight="1" x14ac:dyDescent="0.3">
      <c r="A65" s="92">
        <f>+MAX($A$16:A64)+1</f>
        <v>27</v>
      </c>
      <c r="B65" s="86" t="s">
        <v>226</v>
      </c>
      <c r="C65" s="87" t="s">
        <v>357</v>
      </c>
      <c r="D65" s="87" t="s">
        <v>224</v>
      </c>
      <c r="E65" s="88">
        <v>5500</v>
      </c>
      <c r="F65" s="89" t="s">
        <v>225</v>
      </c>
      <c r="G65" s="89" t="s">
        <v>203</v>
      </c>
      <c r="H65" s="124">
        <v>0</v>
      </c>
      <c r="I65" s="124">
        <f>0.6*1000*(16+2*4.5+2*2)/10000</f>
        <v>1.74</v>
      </c>
      <c r="J65" s="124" t="s">
        <v>227</v>
      </c>
      <c r="K65" s="124">
        <f>I65-H65</f>
        <v>1.74</v>
      </c>
      <c r="L65" s="100" t="s">
        <v>267</v>
      </c>
      <c r="M65" s="98"/>
    </row>
    <row r="66" spans="1:13" s="29" customFormat="1" ht="187.2" x14ac:dyDescent="0.3">
      <c r="A66" s="92">
        <f>+MAX($A$16:A65)+1</f>
        <v>28</v>
      </c>
      <c r="B66" s="93" t="s">
        <v>268</v>
      </c>
      <c r="C66" s="94" t="s">
        <v>280</v>
      </c>
      <c r="D66" s="94" t="s">
        <v>224</v>
      </c>
      <c r="E66" s="95">
        <v>14000</v>
      </c>
      <c r="F66" s="93" t="s">
        <v>228</v>
      </c>
      <c r="G66" s="94" t="s">
        <v>269</v>
      </c>
      <c r="H66" s="124">
        <v>0</v>
      </c>
      <c r="I66" s="124">
        <v>1.76</v>
      </c>
      <c r="J66" s="124" t="s">
        <v>229</v>
      </c>
      <c r="K66" s="124">
        <f>I66-H66</f>
        <v>1.76</v>
      </c>
      <c r="L66" s="100" t="s">
        <v>267</v>
      </c>
      <c r="M66" s="255" t="s">
        <v>488</v>
      </c>
    </row>
    <row r="67" spans="1:13" s="29" customFormat="1" ht="40.5" customHeight="1" x14ac:dyDescent="0.3">
      <c r="A67" s="92">
        <f>+MAX($A$16:A66)+1</f>
        <v>29</v>
      </c>
      <c r="B67" s="86" t="s">
        <v>230</v>
      </c>
      <c r="C67" s="87" t="s">
        <v>281</v>
      </c>
      <c r="D67" s="87" t="s">
        <v>224</v>
      </c>
      <c r="E67" s="88">
        <v>24500</v>
      </c>
      <c r="F67" s="89" t="s">
        <v>231</v>
      </c>
      <c r="G67" s="89" t="s">
        <v>270</v>
      </c>
      <c r="H67" s="124">
        <v>0</v>
      </c>
      <c r="I67" s="124">
        <v>3.5</v>
      </c>
      <c r="J67" s="124" t="s">
        <v>229</v>
      </c>
      <c r="K67" s="124">
        <f>I67-H67</f>
        <v>3.5</v>
      </c>
      <c r="L67" s="100" t="s">
        <v>267</v>
      </c>
      <c r="M67" s="98" t="s">
        <v>511</v>
      </c>
    </row>
    <row r="68" spans="1:13" s="84" customFormat="1" ht="70.5" customHeight="1" x14ac:dyDescent="0.3">
      <c r="A68" s="92">
        <f>+MAX($A$16:A67)+1</f>
        <v>30</v>
      </c>
      <c r="B68" s="93" t="s">
        <v>295</v>
      </c>
      <c r="C68" s="94" t="s">
        <v>358</v>
      </c>
      <c r="D68" s="94" t="s">
        <v>224</v>
      </c>
      <c r="E68" s="95">
        <v>46700</v>
      </c>
      <c r="F68" s="96" t="s">
        <v>232</v>
      </c>
      <c r="G68" s="96" t="s">
        <v>282</v>
      </c>
      <c r="H68" s="124">
        <v>0</v>
      </c>
      <c r="I68" s="124">
        <f>3500*34/10000</f>
        <v>11.9</v>
      </c>
      <c r="J68" s="124"/>
      <c r="K68" s="124">
        <f>I68-H68</f>
        <v>11.9</v>
      </c>
      <c r="L68" s="100" t="s">
        <v>313</v>
      </c>
      <c r="M68" s="223"/>
    </row>
    <row r="69" spans="1:13" s="29" customFormat="1" ht="53.25" customHeight="1" x14ac:dyDescent="0.3">
      <c r="A69" s="92">
        <f>+MAX($A$16:A68)+1</f>
        <v>31</v>
      </c>
      <c r="B69" s="93" t="s">
        <v>233</v>
      </c>
      <c r="C69" s="94" t="s">
        <v>359</v>
      </c>
      <c r="D69" s="94" t="s">
        <v>224</v>
      </c>
      <c r="E69" s="95">
        <v>195000</v>
      </c>
      <c r="F69" s="96" t="s">
        <v>234</v>
      </c>
      <c r="G69" s="96" t="s">
        <v>271</v>
      </c>
      <c r="H69" s="124">
        <v>0</v>
      </c>
      <c r="I69" s="124">
        <f>29*5.7/10</f>
        <v>16.53</v>
      </c>
      <c r="J69" s="124"/>
      <c r="K69" s="124">
        <f>I69-H69</f>
        <v>16.53</v>
      </c>
      <c r="L69" s="100" t="s">
        <v>313</v>
      </c>
      <c r="M69" s="98"/>
    </row>
    <row r="70" spans="1:13" ht="32.4" x14ac:dyDescent="0.3">
      <c r="A70" s="231"/>
      <c r="B70" s="125" t="s">
        <v>246</v>
      </c>
      <c r="C70" s="124"/>
      <c r="D70" s="94"/>
      <c r="E70" s="95">
        <v>0</v>
      </c>
      <c r="F70" s="96"/>
      <c r="G70" s="96"/>
      <c r="H70" s="124"/>
      <c r="I70" s="124"/>
      <c r="J70" s="124"/>
      <c r="K70" s="124"/>
      <c r="L70" s="100"/>
      <c r="M70" s="264"/>
    </row>
    <row r="71" spans="1:13" ht="36.75" customHeight="1" x14ac:dyDescent="0.3">
      <c r="A71" s="92">
        <f>+MAX($A$16:A70)+1</f>
        <v>32</v>
      </c>
      <c r="B71" s="117" t="s">
        <v>247</v>
      </c>
      <c r="C71" s="124" t="s">
        <v>290</v>
      </c>
      <c r="D71" s="94" t="s">
        <v>224</v>
      </c>
      <c r="E71" s="95">
        <v>22100</v>
      </c>
      <c r="F71" s="96" t="s">
        <v>237</v>
      </c>
      <c r="G71" s="96" t="s">
        <v>248</v>
      </c>
      <c r="H71" s="124">
        <v>4.3899999999999997</v>
      </c>
      <c r="I71" s="124">
        <v>4.3899999999999997</v>
      </c>
      <c r="J71" s="124"/>
      <c r="K71" s="124">
        <f>I71-H71</f>
        <v>0</v>
      </c>
      <c r="L71" s="100" t="s">
        <v>267</v>
      </c>
      <c r="M71" s="97" t="s">
        <v>507</v>
      </c>
    </row>
    <row r="72" spans="1:13" ht="36.75" customHeight="1" x14ac:dyDescent="0.3">
      <c r="A72" s="92">
        <f>+MAX($A$16:A71)+1</f>
        <v>33</v>
      </c>
      <c r="B72" s="117" t="s">
        <v>249</v>
      </c>
      <c r="C72" s="124" t="s">
        <v>291</v>
      </c>
      <c r="D72" s="94" t="s">
        <v>224</v>
      </c>
      <c r="E72" s="95">
        <v>27900</v>
      </c>
      <c r="F72" s="96" t="s">
        <v>237</v>
      </c>
      <c r="G72" s="96" t="s">
        <v>250</v>
      </c>
      <c r="H72" s="124">
        <v>0</v>
      </c>
      <c r="I72" s="124">
        <v>3.16</v>
      </c>
      <c r="J72" s="124"/>
      <c r="K72" s="124">
        <f>I72-H72</f>
        <v>3.16</v>
      </c>
      <c r="L72" s="100" t="s">
        <v>267</v>
      </c>
      <c r="M72" s="265" t="s">
        <v>508</v>
      </c>
    </row>
    <row r="73" spans="1:13" ht="62.4" x14ac:dyDescent="0.3">
      <c r="A73" s="92">
        <f>+MAX($A$16:A72)+1</f>
        <v>34</v>
      </c>
      <c r="B73" s="117" t="s">
        <v>251</v>
      </c>
      <c r="C73" s="124" t="s">
        <v>292</v>
      </c>
      <c r="D73" s="94" t="s">
        <v>224</v>
      </c>
      <c r="E73" s="95">
        <v>25600</v>
      </c>
      <c r="F73" s="96" t="s">
        <v>237</v>
      </c>
      <c r="G73" s="96" t="s">
        <v>252</v>
      </c>
      <c r="H73" s="124">
        <v>0</v>
      </c>
      <c r="I73" s="124">
        <v>2.9</v>
      </c>
      <c r="J73" s="124"/>
      <c r="K73" s="124">
        <f>I73-H73</f>
        <v>2.9</v>
      </c>
      <c r="L73" s="100" t="s">
        <v>267</v>
      </c>
      <c r="M73" s="265" t="s">
        <v>509</v>
      </c>
    </row>
    <row r="74" spans="1:13" s="123" customFormat="1" ht="35.25" customHeight="1" x14ac:dyDescent="0.3">
      <c r="A74" s="109"/>
      <c r="B74" s="121" t="s">
        <v>235</v>
      </c>
      <c r="C74" s="92"/>
      <c r="D74" s="116"/>
      <c r="E74" s="95">
        <v>0</v>
      </c>
      <c r="F74" s="122"/>
      <c r="G74" s="122"/>
      <c r="H74" s="124"/>
      <c r="I74" s="124"/>
      <c r="J74" s="124"/>
      <c r="K74" s="124"/>
      <c r="L74" s="100"/>
      <c r="M74" s="110"/>
    </row>
    <row r="75" spans="1:13" s="123" customFormat="1" ht="51.75" customHeight="1" x14ac:dyDescent="0.3">
      <c r="A75" s="92">
        <f>+MAX($A$16:A74)+1</f>
        <v>35</v>
      </c>
      <c r="B75" s="117" t="s">
        <v>236</v>
      </c>
      <c r="C75" s="124" t="s">
        <v>283</v>
      </c>
      <c r="D75" s="94" t="s">
        <v>224</v>
      </c>
      <c r="E75" s="95">
        <v>8600</v>
      </c>
      <c r="F75" s="96" t="s">
        <v>237</v>
      </c>
      <c r="G75" s="96" t="s">
        <v>238</v>
      </c>
      <c r="H75" s="124">
        <v>0</v>
      </c>
      <c r="I75" s="124">
        <v>1.27</v>
      </c>
      <c r="J75" s="124"/>
      <c r="K75" s="124">
        <f t="shared" ref="K75:K81" si="0">I75-H75</f>
        <v>1.27</v>
      </c>
      <c r="L75" s="100" t="s">
        <v>267</v>
      </c>
      <c r="M75" s="110" t="s">
        <v>483</v>
      </c>
    </row>
    <row r="76" spans="1:13" s="123" customFormat="1" ht="51.75" customHeight="1" x14ac:dyDescent="0.3">
      <c r="A76" s="92">
        <f>+MAX($A$16:A75)+1</f>
        <v>36</v>
      </c>
      <c r="B76" s="117" t="s">
        <v>239</v>
      </c>
      <c r="C76" s="124" t="s">
        <v>284</v>
      </c>
      <c r="D76" s="94" t="s">
        <v>224</v>
      </c>
      <c r="E76" s="95">
        <v>6100</v>
      </c>
      <c r="F76" s="96" t="s">
        <v>237</v>
      </c>
      <c r="G76" s="96" t="s">
        <v>238</v>
      </c>
      <c r="H76" s="124">
        <v>0</v>
      </c>
      <c r="I76" s="124">
        <v>1.06</v>
      </c>
      <c r="J76" s="124"/>
      <c r="K76" s="124">
        <f t="shared" si="0"/>
        <v>1.06</v>
      </c>
      <c r="L76" s="100" t="s">
        <v>267</v>
      </c>
      <c r="M76" s="110" t="s">
        <v>482</v>
      </c>
    </row>
    <row r="77" spans="1:13" s="123" customFormat="1" ht="51.75" customHeight="1" x14ac:dyDescent="0.3">
      <c r="A77" s="92">
        <f>+MAX($A$16:A76)+1</f>
        <v>37</v>
      </c>
      <c r="B77" s="117" t="s">
        <v>240</v>
      </c>
      <c r="C77" s="124" t="s">
        <v>285</v>
      </c>
      <c r="D77" s="94" t="s">
        <v>224</v>
      </c>
      <c r="E77" s="95">
        <v>8500</v>
      </c>
      <c r="F77" s="96" t="s">
        <v>237</v>
      </c>
      <c r="G77" s="96" t="s">
        <v>241</v>
      </c>
      <c r="H77" s="124">
        <v>0</v>
      </c>
      <c r="I77" s="124">
        <v>1.23</v>
      </c>
      <c r="J77" s="124"/>
      <c r="K77" s="124">
        <f t="shared" si="0"/>
        <v>1.23</v>
      </c>
      <c r="L77" s="100" t="s">
        <v>267</v>
      </c>
      <c r="M77" s="98" t="s">
        <v>510</v>
      </c>
    </row>
    <row r="78" spans="1:13" s="123" customFormat="1" ht="51.75" customHeight="1" x14ac:dyDescent="0.3">
      <c r="A78" s="92">
        <f>+MAX($A$16:A77)+1</f>
        <v>38</v>
      </c>
      <c r="B78" s="117" t="s">
        <v>242</v>
      </c>
      <c r="C78" s="124" t="s">
        <v>286</v>
      </c>
      <c r="D78" s="94" t="s">
        <v>224</v>
      </c>
      <c r="E78" s="95">
        <v>6600</v>
      </c>
      <c r="F78" s="96" t="s">
        <v>237</v>
      </c>
      <c r="G78" s="96" t="s">
        <v>241</v>
      </c>
      <c r="H78" s="124">
        <v>0</v>
      </c>
      <c r="I78" s="124">
        <v>0.88</v>
      </c>
      <c r="J78" s="124"/>
      <c r="K78" s="124">
        <f t="shared" si="0"/>
        <v>0.88</v>
      </c>
      <c r="L78" s="100" t="s">
        <v>267</v>
      </c>
      <c r="M78" s="110" t="s">
        <v>481</v>
      </c>
    </row>
    <row r="79" spans="1:13" s="123" customFormat="1" ht="51.75" customHeight="1" x14ac:dyDescent="0.3">
      <c r="A79" s="92">
        <f>+MAX($A$16:A78)+1</f>
        <v>39</v>
      </c>
      <c r="B79" s="117" t="s">
        <v>243</v>
      </c>
      <c r="C79" s="124" t="s">
        <v>287</v>
      </c>
      <c r="D79" s="94" t="s">
        <v>224</v>
      </c>
      <c r="E79" s="95">
        <v>9300</v>
      </c>
      <c r="F79" s="96" t="s">
        <v>237</v>
      </c>
      <c r="G79" s="96" t="s">
        <v>241</v>
      </c>
      <c r="H79" s="124">
        <v>0</v>
      </c>
      <c r="I79" s="124">
        <v>1.1499999999999999</v>
      </c>
      <c r="J79" s="124"/>
      <c r="K79" s="124">
        <f t="shared" si="0"/>
        <v>1.1499999999999999</v>
      </c>
      <c r="L79" s="100" t="s">
        <v>267</v>
      </c>
      <c r="M79" s="110" t="s">
        <v>484</v>
      </c>
    </row>
    <row r="80" spans="1:13" s="123" customFormat="1" ht="51.75" customHeight="1" x14ac:dyDescent="0.3">
      <c r="A80" s="92">
        <f>+MAX($A$16:A79)+1</f>
        <v>40</v>
      </c>
      <c r="B80" s="117" t="s">
        <v>244</v>
      </c>
      <c r="C80" s="124" t="s">
        <v>288</v>
      </c>
      <c r="D80" s="94" t="s">
        <v>224</v>
      </c>
      <c r="E80" s="95">
        <v>13600</v>
      </c>
      <c r="F80" s="96" t="s">
        <v>237</v>
      </c>
      <c r="G80" s="96" t="s">
        <v>241</v>
      </c>
      <c r="H80" s="124">
        <v>0</v>
      </c>
      <c r="I80" s="124">
        <v>1.54</v>
      </c>
      <c r="J80" s="124"/>
      <c r="K80" s="124">
        <f t="shared" si="0"/>
        <v>1.54</v>
      </c>
      <c r="L80" s="100" t="s">
        <v>267</v>
      </c>
      <c r="M80" s="110" t="s">
        <v>485</v>
      </c>
    </row>
    <row r="81" spans="1:13" s="123" customFormat="1" ht="51.75" customHeight="1" x14ac:dyDescent="0.3">
      <c r="A81" s="92">
        <f>+MAX($A$16:A80)+1</f>
        <v>41</v>
      </c>
      <c r="B81" s="117" t="s">
        <v>245</v>
      </c>
      <c r="C81" s="124" t="s">
        <v>289</v>
      </c>
      <c r="D81" s="94" t="s">
        <v>224</v>
      </c>
      <c r="E81" s="95">
        <v>13900</v>
      </c>
      <c r="F81" s="96" t="s">
        <v>237</v>
      </c>
      <c r="G81" s="96" t="s">
        <v>241</v>
      </c>
      <c r="H81" s="124">
        <v>0</v>
      </c>
      <c r="I81" s="124">
        <v>1.7</v>
      </c>
      <c r="J81" s="124"/>
      <c r="K81" s="124">
        <f t="shared" si="0"/>
        <v>1.7</v>
      </c>
      <c r="L81" s="100" t="s">
        <v>267</v>
      </c>
      <c r="M81" s="110" t="s">
        <v>486</v>
      </c>
    </row>
    <row r="82" spans="1:13" s="127" customFormat="1" ht="90.75" customHeight="1" x14ac:dyDescent="0.3">
      <c r="A82" s="92"/>
      <c r="B82" s="121" t="s">
        <v>465</v>
      </c>
      <c r="C82" s="92"/>
      <c r="D82" s="94"/>
      <c r="E82" s="95"/>
      <c r="F82" s="122"/>
      <c r="G82" s="122"/>
      <c r="H82" s="124"/>
      <c r="I82" s="124"/>
      <c r="J82" s="124"/>
      <c r="K82" s="124"/>
      <c r="L82" s="100"/>
      <c r="M82" s="224"/>
    </row>
    <row r="83" spans="1:13" s="123" customFormat="1" ht="107.25" customHeight="1" x14ac:dyDescent="0.3">
      <c r="A83" s="92">
        <f>+MAX($A$16:A82)+1</f>
        <v>42</v>
      </c>
      <c r="B83" s="117" t="s">
        <v>466</v>
      </c>
      <c r="C83" s="124" t="s">
        <v>293</v>
      </c>
      <c r="D83" s="94" t="s">
        <v>224</v>
      </c>
      <c r="E83" s="95">
        <v>15000</v>
      </c>
      <c r="F83" s="96" t="s">
        <v>237</v>
      </c>
      <c r="G83" s="96" t="s">
        <v>253</v>
      </c>
      <c r="H83" s="124">
        <v>0</v>
      </c>
      <c r="I83" s="124">
        <v>1.7</v>
      </c>
      <c r="J83" s="124"/>
      <c r="K83" s="124">
        <f>I83-H83</f>
        <v>1.7</v>
      </c>
      <c r="L83" s="100" t="s">
        <v>267</v>
      </c>
      <c r="M83" s="250" t="s">
        <v>512</v>
      </c>
    </row>
    <row r="84" spans="1:13" s="123" customFormat="1" ht="35.25" customHeight="1" x14ac:dyDescent="0.3">
      <c r="A84" s="92"/>
      <c r="B84" s="121" t="s">
        <v>494</v>
      </c>
      <c r="C84" s="124"/>
      <c r="D84" s="94"/>
      <c r="E84" s="95"/>
      <c r="F84" s="96"/>
      <c r="G84" s="96"/>
      <c r="H84" s="124"/>
      <c r="I84" s="124"/>
      <c r="J84" s="124"/>
      <c r="K84" s="124"/>
      <c r="L84" s="100"/>
      <c r="M84" s="110"/>
    </row>
    <row r="85" spans="1:13" s="123" customFormat="1" ht="68.25" customHeight="1" x14ac:dyDescent="0.25">
      <c r="A85" s="92">
        <f>+MAX($A$16:A84)+1</f>
        <v>43</v>
      </c>
      <c r="B85" s="266" t="s">
        <v>489</v>
      </c>
      <c r="C85" s="124"/>
      <c r="D85" s="94" t="s">
        <v>224</v>
      </c>
      <c r="E85" s="95"/>
      <c r="F85" s="96"/>
      <c r="G85" s="96" t="s">
        <v>495</v>
      </c>
      <c r="H85" s="124">
        <v>3.46</v>
      </c>
      <c r="I85" s="124">
        <v>3.46</v>
      </c>
      <c r="J85" s="124"/>
      <c r="K85" s="124">
        <f>I85-H85</f>
        <v>0</v>
      </c>
      <c r="L85" s="99">
        <v>2021</v>
      </c>
      <c r="M85" s="250" t="s">
        <v>498</v>
      </c>
    </row>
    <row r="86" spans="1:13" s="123" customFormat="1" ht="68.25" customHeight="1" x14ac:dyDescent="0.25">
      <c r="A86" s="92">
        <f>+MAX($A$16:A85)+1</f>
        <v>44</v>
      </c>
      <c r="B86" s="266" t="s">
        <v>490</v>
      </c>
      <c r="C86" s="124"/>
      <c r="D86" s="94" t="s">
        <v>224</v>
      </c>
      <c r="E86" s="95"/>
      <c r="F86" s="96"/>
      <c r="G86" s="96" t="s">
        <v>495</v>
      </c>
      <c r="H86" s="124">
        <v>0.97</v>
      </c>
      <c r="I86" s="124">
        <v>0.97</v>
      </c>
      <c r="J86" s="124"/>
      <c r="K86" s="124">
        <f>I86-H86</f>
        <v>0</v>
      </c>
      <c r="L86" s="99">
        <v>2021</v>
      </c>
      <c r="M86" s="250" t="s">
        <v>499</v>
      </c>
    </row>
    <row r="87" spans="1:13" s="123" customFormat="1" ht="68.25" customHeight="1" x14ac:dyDescent="0.25">
      <c r="A87" s="92">
        <f>+MAX($A$16:A86)+1</f>
        <v>45</v>
      </c>
      <c r="B87" s="266" t="s">
        <v>491</v>
      </c>
      <c r="C87" s="124"/>
      <c r="D87" s="94" t="s">
        <v>224</v>
      </c>
      <c r="E87" s="95"/>
      <c r="F87" s="96"/>
      <c r="G87" s="96" t="s">
        <v>495</v>
      </c>
      <c r="H87" s="124">
        <v>0.45</v>
      </c>
      <c r="I87" s="124">
        <v>0.45</v>
      </c>
      <c r="J87" s="124"/>
      <c r="K87" s="124">
        <f>I87-H87</f>
        <v>0</v>
      </c>
      <c r="L87" s="99">
        <v>2021</v>
      </c>
      <c r="M87" s="250" t="s">
        <v>500</v>
      </c>
    </row>
    <row r="88" spans="1:13" s="123" customFormat="1" ht="68.25" customHeight="1" x14ac:dyDescent="0.25">
      <c r="A88" s="92">
        <f>+MAX($A$16:A87)+1</f>
        <v>46</v>
      </c>
      <c r="B88" s="266" t="s">
        <v>492</v>
      </c>
      <c r="C88" s="124"/>
      <c r="D88" s="94" t="s">
        <v>224</v>
      </c>
      <c r="E88" s="95"/>
      <c r="F88" s="96"/>
      <c r="G88" s="96" t="s">
        <v>495</v>
      </c>
      <c r="H88" s="124">
        <v>0.09</v>
      </c>
      <c r="I88" s="124">
        <v>7.0000000000000007E-2</v>
      </c>
      <c r="J88" s="124"/>
      <c r="K88" s="124">
        <v>0</v>
      </c>
      <c r="L88" s="99">
        <v>2021</v>
      </c>
      <c r="M88" s="110" t="s">
        <v>497</v>
      </c>
    </row>
    <row r="89" spans="1:13" s="123" customFormat="1" ht="68.25" customHeight="1" x14ac:dyDescent="0.3">
      <c r="A89" s="267">
        <f>+MAX($A$16:A88)+1</f>
        <v>47</v>
      </c>
      <c r="B89" s="268" t="s">
        <v>493</v>
      </c>
      <c r="C89" s="206"/>
      <c r="D89" s="232" t="s">
        <v>224</v>
      </c>
      <c r="E89" s="233"/>
      <c r="F89" s="234"/>
      <c r="G89" s="234" t="s">
        <v>496</v>
      </c>
      <c r="H89" s="206">
        <v>4.57</v>
      </c>
      <c r="I89" s="206">
        <v>3.85</v>
      </c>
      <c r="J89" s="206"/>
      <c r="K89" s="206">
        <v>0</v>
      </c>
      <c r="L89" s="269">
        <v>2021</v>
      </c>
      <c r="M89" s="270" t="s">
        <v>520</v>
      </c>
    </row>
    <row r="90" spans="1:13" ht="21.75" customHeight="1" x14ac:dyDescent="0.3">
      <c r="A90" s="149"/>
      <c r="B90" s="149" t="s">
        <v>312</v>
      </c>
      <c r="C90" s="150"/>
      <c r="D90" s="151"/>
      <c r="E90" s="152"/>
      <c r="F90" s="153"/>
      <c r="G90" s="153"/>
      <c r="H90" s="229"/>
      <c r="I90" s="229"/>
      <c r="J90" s="229">
        <f>SUM(J11:J83)</f>
        <v>0</v>
      </c>
      <c r="K90" s="229"/>
      <c r="L90" s="154"/>
      <c r="M90" s="240"/>
    </row>
    <row r="92" spans="1:13" s="134" customFormat="1" x14ac:dyDescent="0.3">
      <c r="A92" s="160"/>
      <c r="B92" s="256" t="s">
        <v>316</v>
      </c>
      <c r="C92" s="160"/>
      <c r="E92" s="135"/>
      <c r="F92" s="160"/>
      <c r="G92" s="160"/>
      <c r="L92" s="160" t="s">
        <v>365</v>
      </c>
    </row>
    <row r="93" spans="1:13" s="134" customFormat="1" x14ac:dyDescent="0.3">
      <c r="A93" s="160"/>
      <c r="B93" s="256"/>
      <c r="C93" s="160"/>
      <c r="E93" s="135"/>
      <c r="F93" s="160"/>
      <c r="G93" s="160"/>
      <c r="I93" s="160"/>
      <c r="J93" s="160"/>
      <c r="K93" s="147"/>
      <c r="L93" s="160"/>
    </row>
    <row r="94" spans="1:13" s="134" customFormat="1" x14ac:dyDescent="0.3">
      <c r="A94" s="160"/>
      <c r="B94" s="256"/>
      <c r="C94" s="160"/>
      <c r="E94" s="135"/>
      <c r="F94" s="160"/>
      <c r="G94" s="160"/>
      <c r="I94" s="160"/>
      <c r="J94" s="160"/>
      <c r="K94" s="147"/>
      <c r="L94" s="160"/>
    </row>
    <row r="95" spans="1:13" s="134" customFormat="1" x14ac:dyDescent="0.3">
      <c r="A95" s="160"/>
      <c r="B95" s="256"/>
      <c r="C95" s="160"/>
      <c r="E95" s="135"/>
      <c r="F95" s="160"/>
      <c r="G95" s="160"/>
      <c r="I95" s="160"/>
      <c r="J95" s="160"/>
      <c r="K95" s="147"/>
      <c r="L95" s="160"/>
    </row>
    <row r="96" spans="1:13" s="134" customFormat="1" x14ac:dyDescent="0.3">
      <c r="A96" s="160"/>
      <c r="B96" s="256"/>
      <c r="C96" s="160"/>
      <c r="E96" s="135"/>
      <c r="F96" s="160"/>
      <c r="G96" s="160"/>
      <c r="I96" s="160"/>
      <c r="J96" s="160"/>
      <c r="K96" s="147"/>
      <c r="L96" s="160"/>
    </row>
    <row r="97" spans="1:12" s="134" customFormat="1" x14ac:dyDescent="0.3">
      <c r="A97" s="160"/>
      <c r="B97" s="256"/>
      <c r="C97" s="160"/>
      <c r="E97" s="135"/>
      <c r="F97" s="160"/>
      <c r="G97" s="160"/>
      <c r="I97" s="160"/>
      <c r="J97" s="160"/>
      <c r="K97" s="147"/>
      <c r="L97" s="160"/>
    </row>
    <row r="98" spans="1:12" s="137" customFormat="1" ht="16.8" x14ac:dyDescent="0.3">
      <c r="A98" s="161"/>
      <c r="B98" s="257" t="s">
        <v>354</v>
      </c>
      <c r="C98" s="161"/>
      <c r="E98" s="138"/>
      <c r="F98" s="161"/>
      <c r="G98" s="161"/>
      <c r="L98" s="161" t="s">
        <v>355</v>
      </c>
    </row>
  </sheetData>
  <mergeCells count="11">
    <mergeCell ref="C1:M1"/>
    <mergeCell ref="C2:M2"/>
    <mergeCell ref="A4:M4"/>
    <mergeCell ref="A5:M5"/>
    <mergeCell ref="A6:J6"/>
    <mergeCell ref="M51:M52"/>
    <mergeCell ref="E7:J7"/>
    <mergeCell ref="A30:A32"/>
    <mergeCell ref="B30:B32"/>
    <mergeCell ref="C30:C32"/>
    <mergeCell ref="D30:D32"/>
  </mergeCells>
  <pageMargins left="0.39370078740157483" right="0" top="0.55118110236220474" bottom="0.39370078740157483" header="0" footer="0"/>
  <pageSetup paperSize="9" scale="90" orientation="landscape" r:id="rId1"/>
  <headerFooter>
    <oddFooter>&amp;RTrang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83"/>
  <sheetViews>
    <sheetView topLeftCell="A18" zoomScaleSheetLayoutView="55" workbookViewId="0">
      <selection activeCell="G17" sqref="G17"/>
    </sheetView>
  </sheetViews>
  <sheetFormatPr defaultColWidth="9.109375" defaultRowHeight="15.6" x14ac:dyDescent="0.3"/>
  <cols>
    <col min="1" max="1" width="5.109375" style="101" customWidth="1"/>
    <col min="2" max="2" width="41.44140625" style="102" customWidth="1"/>
    <col min="3" max="3" width="11.109375" style="101" customWidth="1"/>
    <col min="4" max="4" width="24.33203125" style="101" customWidth="1"/>
    <col min="5" max="5" width="14.6640625" style="102" customWidth="1"/>
    <col min="6" max="6" width="12" style="103" hidden="1" customWidth="1"/>
    <col min="7" max="7" width="17.44140625" style="101" hidden="1" customWidth="1"/>
    <col min="8" max="8" width="18.6640625" style="101" customWidth="1"/>
    <col min="9" max="9" width="13.6640625" style="101" customWidth="1"/>
    <col min="10" max="10" width="18" style="101" customWidth="1"/>
    <col min="11" max="11" width="17.33203125" style="101" hidden="1" customWidth="1"/>
    <col min="12" max="12" width="10.88671875" style="101" customWidth="1"/>
    <col min="13" max="13" width="11" style="101" customWidth="1"/>
    <col min="14" max="14" width="42.88671875" style="102" customWidth="1"/>
    <col min="15" max="16384" width="9.109375" style="102"/>
  </cols>
  <sheetData>
    <row r="1" spans="1:14" x14ac:dyDescent="0.3">
      <c r="A1" s="166"/>
      <c r="B1" s="166" t="s">
        <v>277</v>
      </c>
      <c r="C1" s="166"/>
      <c r="D1" s="432" t="s">
        <v>278</v>
      </c>
      <c r="E1" s="432"/>
      <c r="F1" s="432"/>
      <c r="G1" s="432"/>
      <c r="H1" s="432"/>
      <c r="I1" s="432"/>
      <c r="J1" s="432"/>
      <c r="K1" s="432"/>
      <c r="L1" s="432"/>
      <c r="M1" s="432"/>
    </row>
    <row r="2" spans="1:14" x14ac:dyDescent="0.3">
      <c r="A2" s="166"/>
      <c r="B2" s="171" t="s">
        <v>320</v>
      </c>
      <c r="C2" s="166"/>
      <c r="D2" s="433" t="s">
        <v>279</v>
      </c>
      <c r="E2" s="433"/>
      <c r="F2" s="433"/>
      <c r="G2" s="433"/>
      <c r="H2" s="433"/>
      <c r="I2" s="433"/>
      <c r="J2" s="433"/>
      <c r="K2" s="433"/>
      <c r="L2" s="433"/>
      <c r="M2" s="433"/>
    </row>
    <row r="3" spans="1:14" ht="14.25" customHeight="1" x14ac:dyDescent="0.3">
      <c r="A3" s="166"/>
      <c r="B3" s="165"/>
      <c r="C3" s="166"/>
    </row>
    <row r="4" spans="1:14" x14ac:dyDescent="0.3">
      <c r="A4" s="432" t="s">
        <v>276</v>
      </c>
      <c r="B4" s="432"/>
      <c r="C4" s="432"/>
      <c r="D4" s="432"/>
      <c r="E4" s="432"/>
      <c r="F4" s="432"/>
      <c r="G4" s="432"/>
      <c r="H4" s="432"/>
      <c r="I4" s="432"/>
      <c r="J4" s="432"/>
      <c r="K4" s="432"/>
      <c r="L4" s="432"/>
      <c r="M4" s="432"/>
    </row>
    <row r="5" spans="1:14" ht="34.5" customHeight="1" x14ac:dyDescent="0.3">
      <c r="A5" s="438" t="s">
        <v>428</v>
      </c>
      <c r="B5" s="438"/>
      <c r="C5" s="438"/>
      <c r="D5" s="438"/>
      <c r="E5" s="438"/>
      <c r="F5" s="438"/>
      <c r="G5" s="438"/>
      <c r="H5" s="438"/>
      <c r="I5" s="438"/>
      <c r="J5" s="438"/>
      <c r="K5" s="438"/>
      <c r="L5" s="438"/>
      <c r="M5" s="438"/>
    </row>
    <row r="6" spans="1:14" ht="16.8" hidden="1" x14ac:dyDescent="0.3">
      <c r="A6" s="435" t="s">
        <v>215</v>
      </c>
      <c r="B6" s="435"/>
      <c r="C6" s="435"/>
      <c r="D6" s="435"/>
      <c r="E6" s="435"/>
      <c r="F6" s="435"/>
      <c r="G6" s="435"/>
      <c r="H6" s="435"/>
      <c r="I6" s="435"/>
      <c r="J6" s="435"/>
      <c r="K6" s="435"/>
    </row>
    <row r="7" spans="1:14" x14ac:dyDescent="0.3">
      <c r="F7" s="428"/>
      <c r="G7" s="428"/>
      <c r="H7" s="428"/>
      <c r="I7" s="428"/>
      <c r="J7" s="428"/>
      <c r="K7" s="428"/>
    </row>
    <row r="8" spans="1:14" s="29" customFormat="1" ht="78" x14ac:dyDescent="0.3">
      <c r="A8" s="104" t="s">
        <v>0</v>
      </c>
      <c r="B8" s="104" t="s">
        <v>20</v>
      </c>
      <c r="C8" s="104" t="s">
        <v>261</v>
      </c>
      <c r="D8" s="104" t="s">
        <v>216</v>
      </c>
      <c r="E8" s="104" t="s">
        <v>217</v>
      </c>
      <c r="F8" s="104" t="s">
        <v>218</v>
      </c>
      <c r="G8" s="104" t="s">
        <v>219</v>
      </c>
      <c r="H8" s="104" t="s">
        <v>220</v>
      </c>
      <c r="I8" s="104" t="s">
        <v>257</v>
      </c>
      <c r="J8" s="105" t="s">
        <v>314</v>
      </c>
      <c r="K8" s="106" t="s">
        <v>221</v>
      </c>
      <c r="L8" s="105" t="s">
        <v>315</v>
      </c>
      <c r="M8" s="105" t="s">
        <v>266</v>
      </c>
      <c r="N8" s="105" t="s">
        <v>506</v>
      </c>
    </row>
    <row r="9" spans="1:14" s="108" customFormat="1" x14ac:dyDescent="0.3">
      <c r="A9" s="107">
        <v>1</v>
      </c>
      <c r="B9" s="107">
        <v>2</v>
      </c>
      <c r="C9" s="107"/>
      <c r="D9" s="107">
        <v>3</v>
      </c>
      <c r="E9" s="107">
        <v>4</v>
      </c>
      <c r="F9" s="107">
        <v>5</v>
      </c>
      <c r="G9" s="107">
        <v>6</v>
      </c>
      <c r="H9" s="107">
        <v>5</v>
      </c>
      <c r="I9" s="107">
        <v>6</v>
      </c>
      <c r="J9" s="107">
        <v>7</v>
      </c>
      <c r="K9" s="107">
        <v>8</v>
      </c>
      <c r="L9" s="107">
        <v>8</v>
      </c>
      <c r="M9" s="107">
        <v>9</v>
      </c>
      <c r="N9" s="107">
        <v>10</v>
      </c>
    </row>
    <row r="10" spans="1:14" s="108" customFormat="1" ht="20.25" hidden="1" customHeight="1" x14ac:dyDescent="0.3">
      <c r="A10" s="136"/>
      <c r="B10" s="136"/>
      <c r="C10" s="136"/>
      <c r="D10" s="136"/>
      <c r="E10" s="136"/>
      <c r="F10" s="136"/>
      <c r="G10" s="136"/>
      <c r="H10" s="136"/>
      <c r="I10" s="136"/>
      <c r="J10" s="136"/>
      <c r="K10" s="136"/>
      <c r="L10" s="136"/>
      <c r="M10" s="136"/>
      <c r="N10" s="237"/>
    </row>
    <row r="11" spans="1:14" s="29" customFormat="1" hidden="1" x14ac:dyDescent="0.3">
      <c r="A11" s="109" t="s">
        <v>222</v>
      </c>
      <c r="B11" s="109" t="s">
        <v>318</v>
      </c>
      <c r="C11" s="109"/>
      <c r="D11" s="109"/>
      <c r="E11" s="110"/>
      <c r="F11" s="111"/>
      <c r="G11" s="112"/>
      <c r="H11" s="112"/>
      <c r="I11" s="113"/>
      <c r="J11" s="100"/>
      <c r="K11" s="109"/>
      <c r="L11" s="92"/>
      <c r="M11" s="92"/>
      <c r="N11" s="238"/>
    </row>
    <row r="12" spans="1:14" s="29" customFormat="1" ht="78" hidden="1" x14ac:dyDescent="0.3">
      <c r="A12" s="92">
        <v>1</v>
      </c>
      <c r="B12" s="98" t="s">
        <v>259</v>
      </c>
      <c r="C12" s="92">
        <v>12</v>
      </c>
      <c r="D12" s="92" t="s">
        <v>262</v>
      </c>
      <c r="E12" s="94" t="s">
        <v>263</v>
      </c>
      <c r="F12" s="95"/>
      <c r="G12" s="114"/>
      <c r="H12" s="94" t="s">
        <v>264</v>
      </c>
      <c r="I12" s="91"/>
      <c r="J12" s="99">
        <f>12000*22/10000</f>
        <v>26.4</v>
      </c>
      <c r="K12" s="92"/>
      <c r="L12" s="99">
        <f>12000*22/10000</f>
        <v>26.4</v>
      </c>
      <c r="M12" s="92" t="s">
        <v>267</v>
      </c>
      <c r="N12" s="238"/>
    </row>
    <row r="13" spans="1:14" s="29" customFormat="1" ht="31.2" hidden="1" x14ac:dyDescent="0.3">
      <c r="A13" s="92">
        <v>2</v>
      </c>
      <c r="B13" s="98" t="s">
        <v>260</v>
      </c>
      <c r="C13" s="92">
        <v>5.6</v>
      </c>
      <c r="D13" s="92" t="s">
        <v>262</v>
      </c>
      <c r="E13" s="94" t="s">
        <v>263</v>
      </c>
      <c r="F13" s="95"/>
      <c r="G13" s="114"/>
      <c r="H13" s="94" t="s">
        <v>265</v>
      </c>
      <c r="I13" s="91"/>
      <c r="J13" s="99">
        <f>22*5600/10000</f>
        <v>12.32</v>
      </c>
      <c r="K13" s="92"/>
      <c r="L13" s="99">
        <f>22*5600/10000</f>
        <v>12.32</v>
      </c>
      <c r="M13" s="92" t="s">
        <v>267</v>
      </c>
      <c r="N13" s="238"/>
    </row>
    <row r="14" spans="1:14" s="29" customFormat="1" ht="31.2" hidden="1" x14ac:dyDescent="0.3">
      <c r="A14" s="158">
        <v>3</v>
      </c>
      <c r="B14" s="180" t="s">
        <v>308</v>
      </c>
      <c r="C14" s="158">
        <v>3.8</v>
      </c>
      <c r="D14" s="158" t="s">
        <v>262</v>
      </c>
      <c r="E14" s="159" t="s">
        <v>263</v>
      </c>
      <c r="F14" s="148"/>
      <c r="G14" s="181"/>
      <c r="H14" s="159" t="s">
        <v>309</v>
      </c>
      <c r="I14" s="182"/>
      <c r="J14" s="183">
        <f>22*3800/10000</f>
        <v>8.36</v>
      </c>
      <c r="K14" s="158"/>
      <c r="L14" s="183">
        <f>22*3800/10000</f>
        <v>8.36</v>
      </c>
      <c r="M14" s="158">
        <v>2021</v>
      </c>
      <c r="N14" s="238"/>
    </row>
    <row r="15" spans="1:14" s="67" customFormat="1" ht="18.75" customHeight="1" x14ac:dyDescent="0.3">
      <c r="A15" s="208" t="s">
        <v>401</v>
      </c>
      <c r="B15" s="208" t="s">
        <v>400</v>
      </c>
      <c r="C15" s="209"/>
      <c r="D15" s="209"/>
      <c r="E15" s="210"/>
      <c r="F15" s="211"/>
      <c r="G15" s="212"/>
      <c r="H15" s="210"/>
      <c r="I15" s="213"/>
      <c r="J15" s="214"/>
      <c r="K15" s="209"/>
      <c r="L15" s="214"/>
      <c r="M15" s="209"/>
      <c r="N15" s="258"/>
    </row>
    <row r="16" spans="1:14" s="29" customFormat="1" ht="19.5" customHeight="1" x14ac:dyDescent="0.3">
      <c r="A16" s="109" t="s">
        <v>222</v>
      </c>
      <c r="B16" s="116" t="s">
        <v>223</v>
      </c>
      <c r="C16" s="116"/>
      <c r="D16" s="94"/>
      <c r="E16" s="94"/>
      <c r="F16" s="95"/>
      <c r="G16" s="96"/>
      <c r="H16" s="96"/>
      <c r="I16" s="90"/>
      <c r="J16" s="90"/>
      <c r="K16" s="96"/>
      <c r="L16" s="92"/>
      <c r="M16" s="92"/>
      <c r="N16" s="238"/>
    </row>
    <row r="17" spans="1:14" s="29" customFormat="1" ht="78" x14ac:dyDescent="0.3">
      <c r="A17" s="92">
        <v>1</v>
      </c>
      <c r="B17" s="93" t="s">
        <v>402</v>
      </c>
      <c r="C17" s="94" t="s">
        <v>405</v>
      </c>
      <c r="D17" s="94" t="s">
        <v>398</v>
      </c>
      <c r="E17" s="94" t="s">
        <v>224</v>
      </c>
      <c r="F17" s="95"/>
      <c r="G17" s="96"/>
      <c r="H17" s="96" t="s">
        <v>414</v>
      </c>
      <c r="I17" s="124">
        <v>0</v>
      </c>
      <c r="J17" s="124">
        <f>10000*0.0042</f>
        <v>42</v>
      </c>
      <c r="K17" s="124"/>
      <c r="L17" s="124">
        <f t="shared" ref="L17:L23" si="0">J17-I17</f>
        <v>42</v>
      </c>
      <c r="M17" s="100" t="s">
        <v>470</v>
      </c>
      <c r="N17" s="238"/>
    </row>
    <row r="18" spans="1:14" s="29" customFormat="1" ht="51" customHeight="1" x14ac:dyDescent="0.3">
      <c r="A18" s="85">
        <f>+MAX($A$16:A17)+1</f>
        <v>2</v>
      </c>
      <c r="B18" s="93" t="s">
        <v>467</v>
      </c>
      <c r="C18" s="94" t="s">
        <v>469</v>
      </c>
      <c r="D18" s="94" t="s">
        <v>311</v>
      </c>
      <c r="E18" s="94" t="s">
        <v>224</v>
      </c>
      <c r="F18" s="95"/>
      <c r="G18" s="96"/>
      <c r="H18" s="96" t="s">
        <v>468</v>
      </c>
      <c r="I18" s="124">
        <v>0</v>
      </c>
      <c r="J18" s="124">
        <f>(1000*35)/10000</f>
        <v>3.5</v>
      </c>
      <c r="K18" s="124"/>
      <c r="L18" s="124">
        <f t="shared" si="0"/>
        <v>3.5</v>
      </c>
      <c r="M18" s="100" t="s">
        <v>470</v>
      </c>
      <c r="N18" s="238"/>
    </row>
    <row r="19" spans="1:14" s="29" customFormat="1" ht="78" x14ac:dyDescent="0.3">
      <c r="A19" s="85">
        <f>+MAX($A$16:A18)+1</f>
        <v>3</v>
      </c>
      <c r="B19" s="93" t="s">
        <v>415</v>
      </c>
      <c r="C19" s="94" t="s">
        <v>416</v>
      </c>
      <c r="D19" s="94" t="s">
        <v>294</v>
      </c>
      <c r="E19" s="94" t="s">
        <v>224</v>
      </c>
      <c r="F19" s="95"/>
      <c r="G19" s="96"/>
      <c r="H19" s="96" t="s">
        <v>417</v>
      </c>
      <c r="I19" s="124">
        <v>0</v>
      </c>
      <c r="J19" s="124">
        <f>7000*0.0015</f>
        <v>10.5</v>
      </c>
      <c r="K19" s="124"/>
      <c r="L19" s="124">
        <f t="shared" si="0"/>
        <v>10.5</v>
      </c>
      <c r="M19" s="100" t="s">
        <v>317</v>
      </c>
      <c r="N19" s="238"/>
    </row>
    <row r="20" spans="1:14" s="29" customFormat="1" ht="31.2" x14ac:dyDescent="0.3">
      <c r="A20" s="85">
        <f>+MAX($A$16:A19)+1</f>
        <v>4</v>
      </c>
      <c r="B20" s="93" t="s">
        <v>297</v>
      </c>
      <c r="C20" s="94" t="s">
        <v>407</v>
      </c>
      <c r="D20" s="94" t="s">
        <v>294</v>
      </c>
      <c r="E20" s="94" t="s">
        <v>224</v>
      </c>
      <c r="F20" s="95"/>
      <c r="G20" s="96"/>
      <c r="H20" s="96" t="s">
        <v>298</v>
      </c>
      <c r="I20" s="124">
        <v>0</v>
      </c>
      <c r="J20" s="124">
        <f>5600*10/10000</f>
        <v>5.6</v>
      </c>
      <c r="K20" s="124"/>
      <c r="L20" s="124">
        <f t="shared" si="0"/>
        <v>5.6</v>
      </c>
      <c r="M20" s="100" t="s">
        <v>317</v>
      </c>
      <c r="N20" s="238"/>
    </row>
    <row r="21" spans="1:14" s="29" customFormat="1" ht="31.2" x14ac:dyDescent="0.3">
      <c r="A21" s="85">
        <f>+MAX($A$16:A20)+1</f>
        <v>5</v>
      </c>
      <c r="B21" s="93" t="s">
        <v>299</v>
      </c>
      <c r="C21" s="94" t="s">
        <v>408</v>
      </c>
      <c r="D21" s="94" t="s">
        <v>300</v>
      </c>
      <c r="E21" s="94" t="s">
        <v>224</v>
      </c>
      <c r="F21" s="95"/>
      <c r="G21" s="96"/>
      <c r="H21" s="96" t="s">
        <v>302</v>
      </c>
      <c r="I21" s="124">
        <v>0</v>
      </c>
      <c r="J21" s="124">
        <f>2300*28/10000</f>
        <v>6.44</v>
      </c>
      <c r="K21" s="124"/>
      <c r="L21" s="124">
        <f t="shared" si="0"/>
        <v>6.44</v>
      </c>
      <c r="M21" s="100" t="s">
        <v>317</v>
      </c>
      <c r="N21" s="238"/>
    </row>
    <row r="22" spans="1:14" s="29" customFormat="1" ht="46.8" x14ac:dyDescent="0.3">
      <c r="A22" s="85">
        <f>+MAX($A$16:A21)+1</f>
        <v>6</v>
      </c>
      <c r="B22" s="93" t="s">
        <v>304</v>
      </c>
      <c r="C22" s="94" t="s">
        <v>410</v>
      </c>
      <c r="D22" s="94" t="s">
        <v>294</v>
      </c>
      <c r="E22" s="94" t="s">
        <v>224</v>
      </c>
      <c r="F22" s="95"/>
      <c r="G22" s="96"/>
      <c r="H22" s="96" t="s">
        <v>305</v>
      </c>
      <c r="I22" s="124">
        <v>0</v>
      </c>
      <c r="J22" s="124">
        <f>10500*19/10000</f>
        <v>19.95</v>
      </c>
      <c r="K22" s="124"/>
      <c r="L22" s="124">
        <f t="shared" si="0"/>
        <v>19.95</v>
      </c>
      <c r="M22" s="100" t="s">
        <v>317</v>
      </c>
      <c r="N22" s="238"/>
    </row>
    <row r="23" spans="1:14" s="29" customFormat="1" ht="46.8" x14ac:dyDescent="0.3">
      <c r="A23" s="85">
        <f>+MAX($A$16:A22)+1</f>
        <v>7</v>
      </c>
      <c r="B23" s="97" t="s">
        <v>306</v>
      </c>
      <c r="C23" s="94" t="s">
        <v>411</v>
      </c>
      <c r="D23" s="94" t="s">
        <v>311</v>
      </c>
      <c r="E23" s="94" t="s">
        <v>256</v>
      </c>
      <c r="F23" s="95">
        <v>27510</v>
      </c>
      <c r="G23" s="96" t="s">
        <v>255</v>
      </c>
      <c r="H23" s="96" t="s">
        <v>272</v>
      </c>
      <c r="I23" s="124">
        <v>0</v>
      </c>
      <c r="J23" s="124">
        <f>10*1.5/10</f>
        <v>1.5</v>
      </c>
      <c r="K23" s="124"/>
      <c r="L23" s="124">
        <f t="shared" si="0"/>
        <v>1.5</v>
      </c>
      <c r="M23" s="100" t="s">
        <v>317</v>
      </c>
      <c r="N23" s="238"/>
    </row>
    <row r="24" spans="1:14" s="29" customFormat="1" ht="36.75" customHeight="1" x14ac:dyDescent="0.3">
      <c r="A24" s="85">
        <f>+MAX($A$16:A23)+1</f>
        <v>8</v>
      </c>
      <c r="B24" s="97" t="s">
        <v>396</v>
      </c>
      <c r="C24" s="94" t="s">
        <v>412</v>
      </c>
      <c r="D24" s="94" t="s">
        <v>294</v>
      </c>
      <c r="E24" s="94" t="s">
        <v>224</v>
      </c>
      <c r="F24" s="95"/>
      <c r="G24" s="96"/>
      <c r="H24" s="96" t="s">
        <v>395</v>
      </c>
      <c r="I24" s="124">
        <v>0</v>
      </c>
      <c r="J24" s="124">
        <f>2000*0.002</f>
        <v>4</v>
      </c>
      <c r="K24" s="124"/>
      <c r="L24" s="124">
        <f>J24</f>
        <v>4</v>
      </c>
      <c r="M24" s="100" t="s">
        <v>317</v>
      </c>
      <c r="N24" s="238"/>
    </row>
    <row r="25" spans="1:14" s="29" customFormat="1" ht="46.8" x14ac:dyDescent="0.3">
      <c r="A25" s="85">
        <f>+MAX($A$16:A24)+1</f>
        <v>9</v>
      </c>
      <c r="B25" s="162" t="s">
        <v>397</v>
      </c>
      <c r="C25" s="94" t="s">
        <v>413</v>
      </c>
      <c r="D25" s="94" t="s">
        <v>398</v>
      </c>
      <c r="E25" s="94" t="s">
        <v>224</v>
      </c>
      <c r="F25" s="95"/>
      <c r="G25" s="96"/>
      <c r="H25" s="96" t="s">
        <v>310</v>
      </c>
      <c r="I25" s="124">
        <v>0</v>
      </c>
      <c r="J25" s="124">
        <f>3000*40/10000</f>
        <v>12</v>
      </c>
      <c r="K25" s="124"/>
      <c r="L25" s="124">
        <f>J25-I25</f>
        <v>12</v>
      </c>
      <c r="M25" s="100" t="s">
        <v>317</v>
      </c>
      <c r="N25" s="238"/>
    </row>
    <row r="26" spans="1:14" s="29" customFormat="1" ht="54.75" customHeight="1" x14ac:dyDescent="0.3">
      <c r="A26" s="85">
        <f>+MAX($A$16:A25)+1</f>
        <v>10</v>
      </c>
      <c r="B26" s="162" t="s">
        <v>274</v>
      </c>
      <c r="C26" s="94" t="s">
        <v>393</v>
      </c>
      <c r="D26" s="94" t="s">
        <v>398</v>
      </c>
      <c r="E26" s="94" t="s">
        <v>224</v>
      </c>
      <c r="F26" s="95"/>
      <c r="G26" s="96"/>
      <c r="H26" s="96" t="s">
        <v>275</v>
      </c>
      <c r="I26" s="124">
        <v>0</v>
      </c>
      <c r="J26" s="124">
        <f>4000*42/10000</f>
        <v>16.8</v>
      </c>
      <c r="K26" s="124"/>
      <c r="L26" s="124">
        <f>J26-I26</f>
        <v>16.8</v>
      </c>
      <c r="M26" s="100" t="s">
        <v>317</v>
      </c>
      <c r="N26" s="238"/>
    </row>
    <row r="27" spans="1:14" s="29" customFormat="1" ht="31.2" x14ac:dyDescent="0.3">
      <c r="A27" s="85">
        <f>+MAX($A$16:A26)+1</f>
        <v>11</v>
      </c>
      <c r="B27" s="93" t="s">
        <v>301</v>
      </c>
      <c r="C27" s="94" t="s">
        <v>409</v>
      </c>
      <c r="D27" s="94" t="s">
        <v>300</v>
      </c>
      <c r="E27" s="94" t="s">
        <v>224</v>
      </c>
      <c r="F27" s="95"/>
      <c r="G27" s="96"/>
      <c r="H27" s="96" t="s">
        <v>303</v>
      </c>
      <c r="I27" s="124">
        <v>0</v>
      </c>
      <c r="J27" s="124">
        <f>6000*24/10000</f>
        <v>14.4</v>
      </c>
      <c r="K27" s="124"/>
      <c r="L27" s="124">
        <f>J27-I27</f>
        <v>14.4</v>
      </c>
      <c r="M27" s="100" t="s">
        <v>471</v>
      </c>
      <c r="N27" s="238"/>
    </row>
    <row r="28" spans="1:14" s="29" customFormat="1" ht="20.25" customHeight="1" x14ac:dyDescent="0.3">
      <c r="A28" s="109" t="s">
        <v>254</v>
      </c>
      <c r="B28" s="116" t="s">
        <v>403</v>
      </c>
      <c r="C28" s="94"/>
      <c r="D28" s="94"/>
      <c r="E28" s="94"/>
      <c r="F28" s="95"/>
      <c r="G28" s="96"/>
      <c r="H28" s="96"/>
      <c r="I28" s="90"/>
      <c r="J28" s="90"/>
      <c r="K28" s="96"/>
      <c r="L28" s="100"/>
      <c r="M28" s="100"/>
      <c r="N28" s="238"/>
    </row>
    <row r="29" spans="1:14" s="29" customFormat="1" ht="54.75" customHeight="1" x14ac:dyDescent="0.3">
      <c r="A29" s="85">
        <f>+MAX($A$16:A28)+1</f>
        <v>12</v>
      </c>
      <c r="B29" s="93" t="s">
        <v>425</v>
      </c>
      <c r="C29" s="94" t="s">
        <v>406</v>
      </c>
      <c r="D29" s="94" t="s">
        <v>426</v>
      </c>
      <c r="E29" s="94" t="s">
        <v>224</v>
      </c>
      <c r="F29" s="95"/>
      <c r="G29" s="96"/>
      <c r="H29" s="96" t="s">
        <v>427</v>
      </c>
      <c r="I29" s="124">
        <v>0</v>
      </c>
      <c r="J29" s="124">
        <f>2500*25/10000</f>
        <v>6.25</v>
      </c>
      <c r="K29" s="124"/>
      <c r="L29" s="124">
        <f>J29-I29</f>
        <v>6.25</v>
      </c>
      <c r="M29" s="100" t="s">
        <v>317</v>
      </c>
      <c r="N29" s="238"/>
    </row>
    <row r="30" spans="1:14" s="29" customFormat="1" ht="46.8" x14ac:dyDescent="0.3">
      <c r="A30" s="85">
        <f>+MAX($A$16:A29)+1</f>
        <v>13</v>
      </c>
      <c r="B30" s="93" t="s">
        <v>399</v>
      </c>
      <c r="C30" s="94" t="s">
        <v>393</v>
      </c>
      <c r="D30" s="94" t="s">
        <v>296</v>
      </c>
      <c r="E30" s="94" t="s">
        <v>224</v>
      </c>
      <c r="F30" s="95"/>
      <c r="G30" s="96"/>
      <c r="H30" s="96" t="s">
        <v>404</v>
      </c>
      <c r="I30" s="124">
        <v>0</v>
      </c>
      <c r="J30" s="124">
        <f>4000*45/10000</f>
        <v>18</v>
      </c>
      <c r="K30" s="124"/>
      <c r="L30" s="124">
        <f>J30-I30</f>
        <v>18</v>
      </c>
      <c r="M30" s="100" t="s">
        <v>317</v>
      </c>
      <c r="N30" s="238"/>
    </row>
    <row r="31" spans="1:14" s="29" customFormat="1" ht="40.5" customHeight="1" x14ac:dyDescent="0.3">
      <c r="A31" s="85">
        <f>+MAX($A$16:A30)+1</f>
        <v>14</v>
      </c>
      <c r="B31" s="93" t="s">
        <v>392</v>
      </c>
      <c r="C31" s="94" t="s">
        <v>393</v>
      </c>
      <c r="D31" s="94" t="s">
        <v>296</v>
      </c>
      <c r="E31" s="94" t="s">
        <v>224</v>
      </c>
      <c r="F31" s="95"/>
      <c r="G31" s="96"/>
      <c r="H31" s="96" t="s">
        <v>394</v>
      </c>
      <c r="I31" s="124">
        <v>0</v>
      </c>
      <c r="J31" s="124">
        <f>4000*45/10000</f>
        <v>18</v>
      </c>
      <c r="K31" s="124"/>
      <c r="L31" s="124">
        <f>J31-I31</f>
        <v>18</v>
      </c>
      <c r="M31" s="100" t="s">
        <v>317</v>
      </c>
      <c r="N31" s="238"/>
    </row>
    <row r="32" spans="1:14" s="67" customFormat="1" ht="36.75" customHeight="1" x14ac:dyDescent="0.3">
      <c r="A32" s="215" t="s">
        <v>418</v>
      </c>
      <c r="B32" s="216" t="s">
        <v>419</v>
      </c>
      <c r="C32" s="216"/>
      <c r="D32" s="216"/>
      <c r="E32" s="216"/>
      <c r="F32" s="217"/>
      <c r="G32" s="218"/>
      <c r="H32" s="218"/>
      <c r="I32" s="219"/>
      <c r="J32" s="220"/>
      <c r="K32" s="218"/>
      <c r="L32" s="178"/>
      <c r="M32" s="178"/>
      <c r="N32" s="258"/>
    </row>
    <row r="33" spans="1:14" s="127" customFormat="1" ht="36" customHeight="1" x14ac:dyDescent="0.3">
      <c r="A33" s="192" t="s">
        <v>222</v>
      </c>
      <c r="B33" s="193" t="s">
        <v>384</v>
      </c>
      <c r="C33" s="194"/>
      <c r="D33" s="195"/>
      <c r="E33" s="175"/>
      <c r="F33" s="176"/>
      <c r="G33" s="177"/>
      <c r="H33" s="177"/>
      <c r="I33" s="196"/>
      <c r="J33" s="197"/>
      <c r="K33" s="192"/>
      <c r="L33" s="197"/>
      <c r="M33" s="197"/>
      <c r="N33" s="241"/>
    </row>
    <row r="34" spans="1:14" s="127" customFormat="1" ht="81" customHeight="1" x14ac:dyDescent="0.3">
      <c r="A34" s="85">
        <f>+MAX($A$16:A33)+1</f>
        <v>15</v>
      </c>
      <c r="B34" s="198" t="s">
        <v>385</v>
      </c>
      <c r="C34" s="199"/>
      <c r="D34" s="126">
        <v>0.97</v>
      </c>
      <c r="E34" s="87" t="s">
        <v>224</v>
      </c>
      <c r="F34" s="88"/>
      <c r="G34" s="89"/>
      <c r="H34" s="89" t="s">
        <v>382</v>
      </c>
      <c r="I34" s="124">
        <v>0.97</v>
      </c>
      <c r="J34" s="124">
        <v>0.97</v>
      </c>
      <c r="K34" s="124"/>
      <c r="L34" s="124">
        <f>J34-I34</f>
        <v>0</v>
      </c>
      <c r="M34" s="100" t="s">
        <v>317</v>
      </c>
      <c r="N34" s="241"/>
    </row>
    <row r="35" spans="1:14" s="127" customFormat="1" ht="81" customHeight="1" x14ac:dyDescent="0.3">
      <c r="A35" s="85">
        <f>+MAX($A$16:A34)+1</f>
        <v>16</v>
      </c>
      <c r="B35" s="198" t="s">
        <v>386</v>
      </c>
      <c r="C35" s="199"/>
      <c r="D35" s="126">
        <v>1.7</v>
      </c>
      <c r="E35" s="87" t="s">
        <v>224</v>
      </c>
      <c r="F35" s="88"/>
      <c r="G35" s="89"/>
      <c r="H35" s="89" t="s">
        <v>382</v>
      </c>
      <c r="I35" s="124">
        <v>1.7</v>
      </c>
      <c r="J35" s="124">
        <v>1.7</v>
      </c>
      <c r="K35" s="124"/>
      <c r="L35" s="124">
        <f>J35-I35</f>
        <v>0</v>
      </c>
      <c r="M35" s="100" t="s">
        <v>317</v>
      </c>
      <c r="N35" s="241"/>
    </row>
    <row r="36" spans="1:14" s="127" customFormat="1" ht="55.2" x14ac:dyDescent="0.3">
      <c r="A36" s="85">
        <f>+MAX($A$16:A35)+1</f>
        <v>17</v>
      </c>
      <c r="B36" s="198" t="s">
        <v>387</v>
      </c>
      <c r="C36" s="199"/>
      <c r="D36" s="126">
        <v>3.65</v>
      </c>
      <c r="E36" s="87" t="s">
        <v>224</v>
      </c>
      <c r="F36" s="88"/>
      <c r="G36" s="89"/>
      <c r="H36" s="89" t="s">
        <v>429</v>
      </c>
      <c r="I36" s="124">
        <v>3.65</v>
      </c>
      <c r="J36" s="124">
        <v>3.65</v>
      </c>
      <c r="K36" s="124"/>
      <c r="L36" s="124">
        <f>J36-I36</f>
        <v>0</v>
      </c>
      <c r="M36" s="100" t="s">
        <v>317</v>
      </c>
      <c r="N36" s="241"/>
    </row>
    <row r="37" spans="1:14" s="127" customFormat="1" ht="70.5" customHeight="1" x14ac:dyDescent="0.3">
      <c r="A37" s="85">
        <f>+MAX($A$16:A36)+1</f>
        <v>18</v>
      </c>
      <c r="B37" s="198" t="s">
        <v>388</v>
      </c>
      <c r="C37" s="199"/>
      <c r="D37" s="126">
        <v>0.38</v>
      </c>
      <c r="E37" s="87" t="s">
        <v>224</v>
      </c>
      <c r="F37" s="88"/>
      <c r="G37" s="89"/>
      <c r="H37" s="89" t="s">
        <v>429</v>
      </c>
      <c r="I37" s="124">
        <v>0.38</v>
      </c>
      <c r="J37" s="124">
        <v>0.38</v>
      </c>
      <c r="K37" s="124"/>
      <c r="L37" s="124">
        <f>J37-I37</f>
        <v>0</v>
      </c>
      <c r="M37" s="100" t="s">
        <v>317</v>
      </c>
      <c r="N37" s="241"/>
    </row>
    <row r="38" spans="1:14" s="127" customFormat="1" ht="84" customHeight="1" x14ac:dyDescent="0.3">
      <c r="A38" s="85">
        <f>+MAX($A$16:A37)+1</f>
        <v>19</v>
      </c>
      <c r="B38" s="198" t="s">
        <v>389</v>
      </c>
      <c r="C38" s="199"/>
      <c r="D38" s="126">
        <v>6.77</v>
      </c>
      <c r="E38" s="87" t="s">
        <v>224</v>
      </c>
      <c r="F38" s="88"/>
      <c r="G38" s="89"/>
      <c r="H38" s="89" t="s">
        <v>427</v>
      </c>
      <c r="I38" s="124">
        <v>6.77</v>
      </c>
      <c r="J38" s="124">
        <v>6.77</v>
      </c>
      <c r="K38" s="124"/>
      <c r="L38" s="124">
        <f>J38-I38</f>
        <v>0</v>
      </c>
      <c r="M38" s="100" t="s">
        <v>317</v>
      </c>
      <c r="N38" s="241"/>
    </row>
    <row r="39" spans="1:14" s="127" customFormat="1" ht="33" customHeight="1" x14ac:dyDescent="0.3">
      <c r="A39" s="192" t="s">
        <v>254</v>
      </c>
      <c r="B39" s="200" t="s">
        <v>430</v>
      </c>
      <c r="C39" s="194"/>
      <c r="D39" s="195"/>
      <c r="E39" s="175"/>
      <c r="F39" s="176"/>
      <c r="G39" s="177"/>
      <c r="H39" s="177"/>
      <c r="I39" s="201"/>
      <c r="J39" s="201"/>
      <c r="K39" s="192"/>
      <c r="L39" s="197"/>
      <c r="M39" s="197"/>
      <c r="N39" s="241"/>
    </row>
    <row r="40" spans="1:14" s="127" customFormat="1" ht="62.4" x14ac:dyDescent="0.3">
      <c r="A40" s="85">
        <f>+MAX($A$16:A39)+1</f>
        <v>20</v>
      </c>
      <c r="B40" s="198" t="s">
        <v>423</v>
      </c>
      <c r="C40" s="199"/>
      <c r="D40" s="126">
        <f>9.98-5.83</f>
        <v>4.1500000000000004</v>
      </c>
      <c r="E40" s="87" t="s">
        <v>224</v>
      </c>
      <c r="F40" s="88"/>
      <c r="G40" s="89"/>
      <c r="H40" s="89" t="s">
        <v>391</v>
      </c>
      <c r="I40" s="124">
        <v>0</v>
      </c>
      <c r="J40" s="124">
        <v>4.1500000000000004</v>
      </c>
      <c r="K40" s="124"/>
      <c r="L40" s="124">
        <f>J40-I40</f>
        <v>4.1500000000000004</v>
      </c>
      <c r="M40" s="164" t="s">
        <v>420</v>
      </c>
      <c r="N40" s="239" t="s">
        <v>487</v>
      </c>
    </row>
    <row r="41" spans="1:14" s="127" customFormat="1" ht="33" customHeight="1" x14ac:dyDescent="0.3">
      <c r="A41" s="192" t="s">
        <v>307</v>
      </c>
      <c r="B41" s="200" t="s">
        <v>431</v>
      </c>
      <c r="C41" s="194"/>
      <c r="D41" s="195"/>
      <c r="E41" s="175"/>
      <c r="F41" s="176"/>
      <c r="G41" s="177"/>
      <c r="H41" s="177"/>
      <c r="I41" s="201"/>
      <c r="J41" s="201"/>
      <c r="K41" s="192"/>
      <c r="L41" s="197"/>
      <c r="M41" s="197"/>
      <c r="N41" s="241"/>
    </row>
    <row r="42" spans="1:14" s="127" customFormat="1" ht="124.8" x14ac:dyDescent="0.3">
      <c r="A42" s="85">
        <f>+MAX($A$16:A41)+1</f>
        <v>21</v>
      </c>
      <c r="B42" s="202" t="s">
        <v>432</v>
      </c>
      <c r="C42" s="199"/>
      <c r="D42" s="126">
        <f>6-2.45-1.7</f>
        <v>1.8499999999999999</v>
      </c>
      <c r="E42" s="87" t="s">
        <v>224</v>
      </c>
      <c r="F42" s="88"/>
      <c r="G42" s="89"/>
      <c r="H42" s="89" t="s">
        <v>433</v>
      </c>
      <c r="I42" s="124">
        <v>0</v>
      </c>
      <c r="J42" s="124">
        <v>3.43</v>
      </c>
      <c r="K42" s="124"/>
      <c r="L42" s="124">
        <f>J42-I42</f>
        <v>3.43</v>
      </c>
      <c r="M42" s="164" t="s">
        <v>420</v>
      </c>
      <c r="N42" s="239" t="s">
        <v>488</v>
      </c>
    </row>
    <row r="43" spans="1:14" s="127" customFormat="1" ht="68.25" customHeight="1" x14ac:dyDescent="0.3">
      <c r="A43" s="192" t="s">
        <v>345</v>
      </c>
      <c r="B43" s="193" t="s">
        <v>437</v>
      </c>
      <c r="C43" s="194"/>
      <c r="D43" s="195"/>
      <c r="E43" s="175"/>
      <c r="F43" s="176"/>
      <c r="G43" s="177"/>
      <c r="H43" s="177"/>
      <c r="I43" s="196"/>
      <c r="J43" s="197"/>
      <c r="K43" s="192"/>
      <c r="L43" s="197"/>
      <c r="M43" s="197"/>
      <c r="N43" s="241"/>
    </row>
    <row r="44" spans="1:14" s="127" customFormat="1" ht="66.75" customHeight="1" x14ac:dyDescent="0.3">
      <c r="A44" s="85">
        <f>+MAX($A$16:A43)+1</f>
        <v>22</v>
      </c>
      <c r="B44" s="198" t="s">
        <v>438</v>
      </c>
      <c r="C44" s="199"/>
      <c r="D44" s="126">
        <v>9.98</v>
      </c>
      <c r="E44" s="87" t="s">
        <v>224</v>
      </c>
      <c r="F44" s="88"/>
      <c r="G44" s="89"/>
      <c r="H44" s="89" t="s">
        <v>391</v>
      </c>
      <c r="I44" s="124">
        <v>0</v>
      </c>
      <c r="J44" s="126">
        <v>9.98</v>
      </c>
      <c r="K44" s="192"/>
      <c r="L44" s="124">
        <f>J44-I44</f>
        <v>9.98</v>
      </c>
      <c r="M44" s="100" t="s">
        <v>317</v>
      </c>
      <c r="N44" s="241"/>
    </row>
    <row r="45" spans="1:14" s="127" customFormat="1" ht="36.75" customHeight="1" x14ac:dyDescent="0.3">
      <c r="A45" s="85">
        <f>+MAX($A$16:A44)+1</f>
        <v>23</v>
      </c>
      <c r="B45" s="198" t="s">
        <v>439</v>
      </c>
      <c r="C45" s="199"/>
      <c r="D45" s="126">
        <v>1</v>
      </c>
      <c r="E45" s="87" t="s">
        <v>224</v>
      </c>
      <c r="F45" s="88"/>
      <c r="G45" s="89"/>
      <c r="H45" s="89" t="s">
        <v>383</v>
      </c>
      <c r="I45" s="124">
        <v>0</v>
      </c>
      <c r="J45" s="126">
        <v>1</v>
      </c>
      <c r="K45" s="192"/>
      <c r="L45" s="124">
        <f>J45-I45</f>
        <v>1</v>
      </c>
      <c r="M45" s="100" t="s">
        <v>317</v>
      </c>
      <c r="N45" s="241"/>
    </row>
    <row r="46" spans="1:14" s="127" customFormat="1" ht="36.75" customHeight="1" x14ac:dyDescent="0.3">
      <c r="A46" s="85">
        <f>+MAX($A$16:A45)+1</f>
        <v>24</v>
      </c>
      <c r="B46" s="198" t="s">
        <v>440</v>
      </c>
      <c r="C46" s="199"/>
      <c r="D46" s="126">
        <v>1</v>
      </c>
      <c r="E46" s="87" t="s">
        <v>224</v>
      </c>
      <c r="F46" s="88"/>
      <c r="G46" s="89"/>
      <c r="H46" s="89" t="s">
        <v>429</v>
      </c>
      <c r="I46" s="124">
        <v>0</v>
      </c>
      <c r="J46" s="126">
        <v>1</v>
      </c>
      <c r="K46" s="192"/>
      <c r="L46" s="124">
        <f>J46-I46</f>
        <v>1</v>
      </c>
      <c r="M46" s="100" t="s">
        <v>317</v>
      </c>
      <c r="N46" s="241"/>
    </row>
    <row r="47" spans="1:14" s="127" customFormat="1" ht="36.75" customHeight="1" x14ac:dyDescent="0.3">
      <c r="A47" s="85">
        <f>+MAX($A$16:A46)+1</f>
        <v>25</v>
      </c>
      <c r="B47" s="198" t="s">
        <v>444</v>
      </c>
      <c r="C47" s="199"/>
      <c r="D47" s="126">
        <v>1</v>
      </c>
      <c r="E47" s="87" t="s">
        <v>224</v>
      </c>
      <c r="F47" s="88"/>
      <c r="G47" s="89"/>
      <c r="H47" s="89" t="s">
        <v>379</v>
      </c>
      <c r="I47" s="124">
        <v>0</v>
      </c>
      <c r="J47" s="126">
        <v>1</v>
      </c>
      <c r="K47" s="192"/>
      <c r="L47" s="124">
        <f>J47-I47</f>
        <v>1</v>
      </c>
      <c r="M47" s="100" t="s">
        <v>317</v>
      </c>
      <c r="N47" s="241"/>
    </row>
    <row r="48" spans="1:14" s="127" customFormat="1" ht="54" customHeight="1" x14ac:dyDescent="0.3">
      <c r="A48" s="192" t="s">
        <v>347</v>
      </c>
      <c r="B48" s="193" t="s">
        <v>424</v>
      </c>
      <c r="C48" s="199"/>
      <c r="D48" s="126"/>
      <c r="E48" s="87"/>
      <c r="F48" s="88"/>
      <c r="G48" s="89"/>
      <c r="H48" s="89"/>
      <c r="I48" s="203"/>
      <c r="J48" s="203"/>
      <c r="K48" s="192"/>
      <c r="L48" s="164"/>
      <c r="M48" s="164"/>
      <c r="N48" s="241"/>
    </row>
    <row r="49" spans="1:14" s="127" customFormat="1" ht="36" customHeight="1" x14ac:dyDescent="0.3">
      <c r="A49" s="85">
        <f>+MAX($A$16:A48)+1</f>
        <v>26</v>
      </c>
      <c r="B49" s="198" t="s">
        <v>434</v>
      </c>
      <c r="C49" s="199"/>
      <c r="D49" s="126">
        <v>2</v>
      </c>
      <c r="E49" s="87" t="s">
        <v>224</v>
      </c>
      <c r="F49" s="88"/>
      <c r="G49" s="89"/>
      <c r="H49" s="89" t="s">
        <v>391</v>
      </c>
      <c r="I49" s="124">
        <v>0</v>
      </c>
      <c r="J49" s="126">
        <v>2</v>
      </c>
      <c r="K49" s="192"/>
      <c r="L49" s="124">
        <f>J49-I49</f>
        <v>2</v>
      </c>
      <c r="M49" s="100" t="s">
        <v>317</v>
      </c>
      <c r="N49" s="241"/>
    </row>
    <row r="50" spans="1:14" s="127" customFormat="1" ht="36" customHeight="1" x14ac:dyDescent="0.3">
      <c r="A50" s="85">
        <f>+MAX($A$16:A49)+1</f>
        <v>27</v>
      </c>
      <c r="B50" s="198" t="s">
        <v>435</v>
      </c>
      <c r="C50" s="199"/>
      <c r="D50" s="126">
        <v>1.5</v>
      </c>
      <c r="E50" s="87" t="s">
        <v>224</v>
      </c>
      <c r="F50" s="88"/>
      <c r="G50" s="89"/>
      <c r="H50" s="89" t="s">
        <v>374</v>
      </c>
      <c r="I50" s="124">
        <v>0</v>
      </c>
      <c r="J50" s="126">
        <v>1.5</v>
      </c>
      <c r="K50" s="192"/>
      <c r="L50" s="124">
        <f>J50-I50</f>
        <v>1.5</v>
      </c>
      <c r="M50" s="100" t="s">
        <v>317</v>
      </c>
      <c r="N50" s="241"/>
    </row>
    <row r="51" spans="1:14" s="127" customFormat="1" ht="36" customHeight="1" x14ac:dyDescent="0.3">
      <c r="A51" s="85">
        <f>+MAX($A$16:A50)+1</f>
        <v>28</v>
      </c>
      <c r="B51" s="198" t="s">
        <v>436</v>
      </c>
      <c r="C51" s="199"/>
      <c r="D51" s="126">
        <v>1.5</v>
      </c>
      <c r="E51" s="87" t="s">
        <v>224</v>
      </c>
      <c r="F51" s="88"/>
      <c r="G51" s="89"/>
      <c r="H51" s="89" t="s">
        <v>375</v>
      </c>
      <c r="I51" s="124">
        <v>0</v>
      </c>
      <c r="J51" s="126">
        <v>1.5</v>
      </c>
      <c r="K51" s="192"/>
      <c r="L51" s="124">
        <f>J51-I51</f>
        <v>1.5</v>
      </c>
      <c r="M51" s="100" t="s">
        <v>317</v>
      </c>
      <c r="N51" s="241"/>
    </row>
    <row r="52" spans="1:14" s="127" customFormat="1" ht="34.5" customHeight="1" x14ac:dyDescent="0.3">
      <c r="A52" s="192" t="s">
        <v>348</v>
      </c>
      <c r="B52" s="193" t="s">
        <v>421</v>
      </c>
      <c r="C52" s="194"/>
      <c r="D52" s="195"/>
      <c r="E52" s="175"/>
      <c r="F52" s="176"/>
      <c r="G52" s="177"/>
      <c r="H52" s="177"/>
      <c r="I52" s="196"/>
      <c r="J52" s="197"/>
      <c r="K52" s="192"/>
      <c r="L52" s="197"/>
      <c r="M52" s="197"/>
      <c r="N52" s="241"/>
    </row>
    <row r="53" spans="1:14" s="127" customFormat="1" ht="33.75" customHeight="1" x14ac:dyDescent="0.3">
      <c r="A53" s="85">
        <f>+MAX($A$16:A52)+1</f>
        <v>29</v>
      </c>
      <c r="B53" s="198" t="s">
        <v>441</v>
      </c>
      <c r="C53" s="199"/>
      <c r="D53" s="126">
        <v>3.5</v>
      </c>
      <c r="E53" s="87" t="s">
        <v>224</v>
      </c>
      <c r="F53" s="88"/>
      <c r="G53" s="89"/>
      <c r="H53" s="89" t="s">
        <v>351</v>
      </c>
      <c r="I53" s="124">
        <v>0</v>
      </c>
      <c r="J53" s="126">
        <v>3.5</v>
      </c>
      <c r="K53" s="192"/>
      <c r="L53" s="124">
        <f>J53-I53</f>
        <v>3.5</v>
      </c>
      <c r="M53" s="100" t="s">
        <v>317</v>
      </c>
      <c r="N53" s="241"/>
    </row>
    <row r="54" spans="1:14" s="127" customFormat="1" ht="33" customHeight="1" x14ac:dyDescent="0.3">
      <c r="A54" s="192" t="s">
        <v>349</v>
      </c>
      <c r="B54" s="193" t="s">
        <v>422</v>
      </c>
      <c r="C54" s="194"/>
      <c r="D54" s="195"/>
      <c r="E54" s="175"/>
      <c r="F54" s="176"/>
      <c r="G54" s="177"/>
      <c r="H54" s="177"/>
      <c r="I54" s="196"/>
      <c r="J54" s="197"/>
      <c r="K54" s="192"/>
      <c r="L54" s="197"/>
      <c r="M54" s="197"/>
      <c r="N54" s="241"/>
    </row>
    <row r="55" spans="1:14" s="127" customFormat="1" ht="34.5" customHeight="1" x14ac:dyDescent="0.3">
      <c r="A55" s="204">
        <f>+MAX($A$16:A54)+1</f>
        <v>30</v>
      </c>
      <c r="B55" s="205" t="s">
        <v>442</v>
      </c>
      <c r="C55" s="128"/>
      <c r="D55" s="129">
        <v>3.5</v>
      </c>
      <c r="E55" s="130" t="s">
        <v>224</v>
      </c>
      <c r="F55" s="131"/>
      <c r="G55" s="132"/>
      <c r="H55" s="132" t="s">
        <v>443</v>
      </c>
      <c r="I55" s="206">
        <v>0</v>
      </c>
      <c r="J55" s="129">
        <v>3.5</v>
      </c>
      <c r="K55" s="133"/>
      <c r="L55" s="206">
        <f>J55-I55</f>
        <v>3.5</v>
      </c>
      <c r="M55" s="207" t="s">
        <v>317</v>
      </c>
      <c r="N55" s="241"/>
    </row>
    <row r="56" spans="1:14" s="127" customFormat="1" ht="19.5" customHeight="1" x14ac:dyDescent="0.3">
      <c r="A56" s="274" t="s">
        <v>350</v>
      </c>
      <c r="B56" s="275" t="s">
        <v>532</v>
      </c>
      <c r="C56" s="272"/>
      <c r="D56" s="273"/>
      <c r="E56" s="130"/>
      <c r="F56" s="131"/>
      <c r="G56" s="132"/>
      <c r="H56" s="132"/>
      <c r="I56" s="206"/>
      <c r="J56" s="129"/>
      <c r="K56" s="133"/>
      <c r="L56" s="206"/>
      <c r="M56" s="207"/>
      <c r="N56" s="241"/>
    </row>
    <row r="57" spans="1:14" s="127" customFormat="1" ht="34.5" customHeight="1" x14ac:dyDescent="0.3">
      <c r="A57" s="204">
        <f>+MAX($A$16:A56)+1</f>
        <v>31</v>
      </c>
      <c r="B57" s="271" t="s">
        <v>521</v>
      </c>
      <c r="C57" s="272"/>
      <c r="D57" s="273">
        <v>9.98</v>
      </c>
      <c r="E57" s="130" t="s">
        <v>224</v>
      </c>
      <c r="F57" s="131"/>
      <c r="G57" s="132"/>
      <c r="H57" s="132" t="s">
        <v>433</v>
      </c>
      <c r="I57" s="206">
        <v>0</v>
      </c>
      <c r="J57" s="129">
        <v>9.98</v>
      </c>
      <c r="K57" s="133"/>
      <c r="L57" s="206">
        <f>J57-I57</f>
        <v>9.98</v>
      </c>
      <c r="M57" s="207" t="s">
        <v>317</v>
      </c>
      <c r="N57" s="241"/>
    </row>
    <row r="58" spans="1:14" s="179" customFormat="1" ht="20.25" customHeight="1" x14ac:dyDescent="0.3">
      <c r="A58" s="149"/>
      <c r="B58" s="184" t="s">
        <v>312</v>
      </c>
      <c r="C58" s="184"/>
      <c r="D58" s="185"/>
      <c r="E58" s="186"/>
      <c r="F58" s="187"/>
      <c r="G58" s="188"/>
      <c r="H58" s="188"/>
      <c r="I58" s="189">
        <f>SUM(I11:I55)</f>
        <v>13.469999999999999</v>
      </c>
      <c r="J58" s="189">
        <f>SUM(J11:J55)</f>
        <v>272.05</v>
      </c>
      <c r="K58" s="189">
        <f>SUM(K11:K32)</f>
        <v>0</v>
      </c>
      <c r="L58" s="189">
        <f>SUM(L11:L55)</f>
        <v>258.58000000000004</v>
      </c>
      <c r="M58" s="190"/>
      <c r="N58" s="259"/>
    </row>
    <row r="59" spans="1:14" s="165" customFormat="1" ht="6.75" customHeight="1" x14ac:dyDescent="0.3">
      <c r="A59" s="166"/>
      <c r="C59" s="166"/>
      <c r="D59" s="166"/>
      <c r="F59" s="167"/>
      <c r="G59" s="166"/>
      <c r="H59" s="166"/>
      <c r="I59" s="166"/>
      <c r="J59" s="166"/>
      <c r="K59" s="166"/>
      <c r="L59" s="166"/>
      <c r="M59" s="166"/>
    </row>
    <row r="60" spans="1:14" s="169" customFormat="1" x14ac:dyDescent="0.3">
      <c r="A60" s="168"/>
      <c r="B60" s="168" t="s">
        <v>316</v>
      </c>
      <c r="C60" s="168"/>
      <c r="D60" s="168"/>
      <c r="F60" s="170"/>
      <c r="G60" s="168"/>
      <c r="H60" s="168"/>
      <c r="I60" s="436" t="s">
        <v>365</v>
      </c>
      <c r="J60" s="436"/>
      <c r="K60" s="436"/>
      <c r="L60" s="436"/>
      <c r="M60" s="436"/>
    </row>
    <row r="61" spans="1:14" s="169" customFormat="1" x14ac:dyDescent="0.3">
      <c r="A61" s="168"/>
      <c r="B61" s="168"/>
      <c r="C61" s="168"/>
      <c r="D61" s="168"/>
      <c r="F61" s="170"/>
      <c r="G61" s="168"/>
      <c r="H61" s="168"/>
      <c r="I61" s="168"/>
      <c r="J61" s="168"/>
      <c r="K61" s="168"/>
      <c r="L61" s="168"/>
      <c r="M61" s="168"/>
    </row>
    <row r="62" spans="1:14" s="169" customFormat="1" x14ac:dyDescent="0.3">
      <c r="A62" s="168"/>
      <c r="B62" s="168"/>
      <c r="C62" s="168"/>
      <c r="D62" s="168"/>
      <c r="F62" s="170"/>
      <c r="G62" s="168"/>
      <c r="H62" s="168"/>
      <c r="I62" s="168"/>
      <c r="J62" s="168"/>
      <c r="K62" s="168"/>
      <c r="L62" s="168"/>
      <c r="M62" s="168"/>
    </row>
    <row r="63" spans="1:14" s="169" customFormat="1" x14ac:dyDescent="0.3">
      <c r="A63" s="168"/>
      <c r="B63" s="168"/>
      <c r="C63" s="168"/>
      <c r="D63" s="168"/>
      <c r="F63" s="170"/>
      <c r="G63" s="168"/>
      <c r="H63" s="168"/>
      <c r="I63" s="168"/>
      <c r="J63" s="168"/>
      <c r="K63" s="168"/>
      <c r="L63" s="168"/>
      <c r="M63" s="168"/>
    </row>
    <row r="64" spans="1:14" s="169" customFormat="1" x14ac:dyDescent="0.3">
      <c r="A64" s="168"/>
      <c r="B64" s="168"/>
      <c r="C64" s="168"/>
      <c r="D64" s="168"/>
      <c r="F64" s="170"/>
      <c r="G64" s="168"/>
      <c r="H64" s="168"/>
      <c r="I64" s="168"/>
      <c r="J64" s="168"/>
      <c r="K64" s="168"/>
      <c r="L64" s="168"/>
      <c r="M64" s="168"/>
    </row>
    <row r="65" spans="1:13" s="169" customFormat="1" x14ac:dyDescent="0.3">
      <c r="A65" s="168"/>
      <c r="B65" s="168"/>
      <c r="C65" s="168"/>
      <c r="D65" s="168"/>
      <c r="F65" s="170"/>
      <c r="G65" s="168"/>
      <c r="H65" s="168"/>
      <c r="I65" s="168"/>
      <c r="J65" s="168"/>
      <c r="K65" s="168"/>
      <c r="L65" s="168"/>
      <c r="M65" s="168"/>
    </row>
    <row r="66" spans="1:13" s="277" customFormat="1" ht="16.8" x14ac:dyDescent="0.3">
      <c r="A66" s="276"/>
      <c r="B66" s="276" t="s">
        <v>354</v>
      </c>
      <c r="C66" s="276"/>
      <c r="D66" s="276"/>
      <c r="F66" s="278"/>
      <c r="G66" s="276"/>
      <c r="H66" s="276"/>
      <c r="I66" s="437" t="s">
        <v>355</v>
      </c>
      <c r="J66" s="437"/>
      <c r="K66" s="437"/>
      <c r="L66" s="437"/>
      <c r="M66" s="437"/>
    </row>
    <row r="67" spans="1:13" s="165" customFormat="1" x14ac:dyDescent="0.3">
      <c r="A67" s="166"/>
      <c r="C67" s="166"/>
      <c r="D67" s="166"/>
      <c r="F67" s="167"/>
      <c r="G67" s="166"/>
      <c r="H67" s="166"/>
      <c r="I67" s="166"/>
      <c r="J67" s="166"/>
      <c r="K67" s="166"/>
      <c r="L67" s="166"/>
      <c r="M67" s="166"/>
    </row>
    <row r="68" spans="1:13" s="165" customFormat="1" x14ac:dyDescent="0.3">
      <c r="A68" s="166"/>
      <c r="C68" s="166"/>
      <c r="D68" s="166"/>
      <c r="F68" s="167"/>
      <c r="G68" s="166"/>
      <c r="H68" s="166"/>
      <c r="I68" s="166"/>
      <c r="J68" s="166"/>
      <c r="K68" s="166"/>
      <c r="L68" s="166"/>
      <c r="M68" s="166"/>
    </row>
    <row r="69" spans="1:13" s="165" customFormat="1" x14ac:dyDescent="0.3">
      <c r="A69" s="166"/>
      <c r="C69" s="166"/>
      <c r="D69" s="166"/>
      <c r="E69" s="165">
        <v>56</v>
      </c>
      <c r="F69" s="167"/>
      <c r="G69" s="166"/>
      <c r="H69" s="166"/>
      <c r="I69" s="166"/>
      <c r="J69" s="166"/>
      <c r="K69" s="166"/>
      <c r="L69" s="166"/>
      <c r="M69" s="166"/>
    </row>
    <row r="70" spans="1:13" s="165" customFormat="1" x14ac:dyDescent="0.3">
      <c r="A70" s="166"/>
      <c r="C70" s="166"/>
      <c r="D70" s="166" t="s">
        <v>522</v>
      </c>
      <c r="E70" s="165">
        <v>25</v>
      </c>
      <c r="F70" s="167"/>
      <c r="G70" s="166"/>
      <c r="H70" s="166"/>
      <c r="I70" s="166"/>
      <c r="J70" s="166"/>
      <c r="K70" s="166"/>
      <c r="L70" s="166"/>
      <c r="M70" s="166"/>
    </row>
    <row r="71" spans="1:13" s="165" customFormat="1" x14ac:dyDescent="0.3">
      <c r="A71" s="166"/>
      <c r="C71" s="166"/>
      <c r="D71" s="166" t="s">
        <v>523</v>
      </c>
      <c r="E71" s="165">
        <v>15</v>
      </c>
      <c r="F71" s="167"/>
      <c r="G71" s="166"/>
      <c r="H71" s="166"/>
      <c r="I71" s="166"/>
      <c r="J71" s="166"/>
      <c r="K71" s="166"/>
      <c r="L71" s="166"/>
      <c r="M71" s="166"/>
    </row>
    <row r="72" spans="1:13" s="165" customFormat="1" x14ac:dyDescent="0.3">
      <c r="A72" s="166"/>
      <c r="C72" s="166"/>
      <c r="D72" s="166" t="s">
        <v>524</v>
      </c>
      <c r="E72" s="165">
        <v>15</v>
      </c>
      <c r="F72" s="167"/>
      <c r="G72" s="166"/>
      <c r="H72" s="166"/>
      <c r="I72" s="166"/>
      <c r="J72" s="166"/>
      <c r="K72" s="166"/>
      <c r="L72" s="166"/>
      <c r="M72" s="166"/>
    </row>
    <row r="73" spans="1:13" s="165" customFormat="1" x14ac:dyDescent="0.3">
      <c r="A73" s="166"/>
      <c r="C73" s="166"/>
      <c r="D73" s="166"/>
      <c r="F73" s="167"/>
      <c r="G73" s="166"/>
      <c r="H73" s="166"/>
      <c r="I73" s="166"/>
      <c r="J73" s="166"/>
      <c r="K73" s="166"/>
      <c r="L73" s="166"/>
      <c r="M73" s="166"/>
    </row>
    <row r="74" spans="1:13" s="165" customFormat="1" x14ac:dyDescent="0.3">
      <c r="A74" s="166"/>
      <c r="C74" s="166"/>
      <c r="D74" s="166"/>
      <c r="F74" s="167"/>
      <c r="G74" s="166"/>
      <c r="H74" s="166"/>
      <c r="I74" s="166"/>
      <c r="J74" s="166"/>
      <c r="K74" s="166"/>
      <c r="L74" s="166"/>
      <c r="M74" s="166"/>
    </row>
    <row r="75" spans="1:13" s="165" customFormat="1" x14ac:dyDescent="0.3">
      <c r="A75" s="166"/>
      <c r="C75" s="166"/>
      <c r="D75" s="166"/>
      <c r="F75" s="167"/>
      <c r="G75" s="166"/>
      <c r="H75" s="166"/>
      <c r="I75" s="166"/>
      <c r="J75" s="166"/>
      <c r="K75" s="166"/>
      <c r="L75" s="166"/>
      <c r="M75" s="166"/>
    </row>
    <row r="76" spans="1:13" s="165" customFormat="1" x14ac:dyDescent="0.3">
      <c r="A76" s="166"/>
      <c r="C76" s="166"/>
      <c r="D76" s="166"/>
      <c r="F76" s="167"/>
      <c r="G76" s="166"/>
      <c r="H76" s="166"/>
      <c r="I76" s="166"/>
      <c r="J76" s="166"/>
      <c r="K76" s="166"/>
      <c r="L76" s="166"/>
      <c r="M76" s="166"/>
    </row>
    <row r="77" spans="1:13" s="165" customFormat="1" x14ac:dyDescent="0.3">
      <c r="A77" s="166"/>
      <c r="C77" s="166"/>
      <c r="D77" s="166"/>
      <c r="F77" s="167"/>
      <c r="G77" s="166"/>
      <c r="H77" s="166"/>
      <c r="I77" s="166"/>
      <c r="J77" s="166"/>
      <c r="K77" s="166"/>
      <c r="L77" s="166"/>
      <c r="M77" s="166"/>
    </row>
    <row r="78" spans="1:13" s="165" customFormat="1" x14ac:dyDescent="0.3">
      <c r="A78" s="166"/>
      <c r="C78" s="166"/>
      <c r="D78" s="166"/>
      <c r="F78" s="167"/>
      <c r="G78" s="166"/>
      <c r="H78" s="166"/>
      <c r="I78" s="166"/>
      <c r="J78" s="166"/>
      <c r="K78" s="166"/>
      <c r="L78" s="166"/>
      <c r="M78" s="166"/>
    </row>
    <row r="79" spans="1:13" s="165" customFormat="1" x14ac:dyDescent="0.3">
      <c r="A79" s="166"/>
      <c r="C79" s="166"/>
      <c r="D79" s="166"/>
      <c r="F79" s="167"/>
      <c r="G79" s="166"/>
      <c r="H79" s="166"/>
      <c r="I79" s="166"/>
      <c r="J79" s="166"/>
      <c r="K79" s="166"/>
      <c r="L79" s="166"/>
      <c r="M79" s="166"/>
    </row>
    <row r="80" spans="1:13" s="165" customFormat="1" x14ac:dyDescent="0.3">
      <c r="A80" s="166"/>
      <c r="C80" s="166"/>
      <c r="D80" s="166"/>
      <c r="F80" s="167"/>
      <c r="G80" s="166"/>
      <c r="H80" s="166"/>
      <c r="I80" s="166"/>
      <c r="J80" s="166"/>
      <c r="K80" s="166"/>
      <c r="L80" s="166"/>
      <c r="M80" s="166"/>
    </row>
    <row r="81" spans="1:13" s="165" customFormat="1" x14ac:dyDescent="0.3">
      <c r="A81" s="166"/>
      <c r="C81" s="166"/>
      <c r="D81" s="166"/>
      <c r="F81" s="167"/>
      <c r="G81" s="166"/>
      <c r="H81" s="166"/>
      <c r="I81" s="166"/>
      <c r="J81" s="166"/>
      <c r="K81" s="166"/>
      <c r="L81" s="166"/>
      <c r="M81" s="166"/>
    </row>
    <row r="82" spans="1:13" s="165" customFormat="1" x14ac:dyDescent="0.3">
      <c r="A82" s="166"/>
      <c r="C82" s="166"/>
      <c r="D82" s="166"/>
      <c r="F82" s="167"/>
      <c r="G82" s="166"/>
      <c r="H82" s="166"/>
      <c r="I82" s="166"/>
      <c r="J82" s="166"/>
      <c r="K82" s="166"/>
      <c r="L82" s="166"/>
      <c r="M82" s="166"/>
    </row>
    <row r="83" spans="1:13" s="165" customFormat="1" x14ac:dyDescent="0.3">
      <c r="A83" s="166"/>
      <c r="C83" s="166"/>
      <c r="D83" s="166"/>
      <c r="F83" s="167"/>
      <c r="G83" s="166"/>
      <c r="H83" s="166"/>
      <c r="I83" s="166"/>
      <c r="J83" s="166"/>
      <c r="K83" s="166"/>
      <c r="L83" s="166"/>
      <c r="M83" s="166"/>
    </row>
  </sheetData>
  <mergeCells count="8">
    <mergeCell ref="D1:M1"/>
    <mergeCell ref="D2:M2"/>
    <mergeCell ref="I60:M60"/>
    <mergeCell ref="I66:M66"/>
    <mergeCell ref="A6:K6"/>
    <mergeCell ref="F7:K7"/>
    <mergeCell ref="A4:M4"/>
    <mergeCell ref="A5:M5"/>
  </mergeCells>
  <pageMargins left="0.39370078740157483" right="0.15748031496062992" top="0.55118110236220474" bottom="0.19685039370078741" header="0.31496062992125984" footer="0.19685039370078741"/>
  <pageSetup paperSize="9" scale="80" orientation="landscape" r:id="rId1"/>
  <headerFooter>
    <oddFooter>&amp;RTrang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W17"/>
  <sheetViews>
    <sheetView view="pageBreakPreview" zoomScale="70" zoomScaleSheetLayoutView="70" workbookViewId="0">
      <selection activeCell="D3" sqref="D3:D5"/>
    </sheetView>
  </sheetViews>
  <sheetFormatPr defaultColWidth="9.109375" defaultRowHeight="15.6" x14ac:dyDescent="0.3"/>
  <cols>
    <col min="1" max="1" width="5.109375" style="20" customWidth="1"/>
    <col min="2" max="2" width="24" style="2" customWidth="1"/>
    <col min="3" max="3" width="31" style="20" customWidth="1"/>
    <col min="4" max="4" width="16.33203125" style="20" customWidth="1"/>
    <col min="5" max="6" width="14.44140625" style="324" customWidth="1"/>
    <col min="7" max="9" width="14.44140625" style="324" hidden="1" customWidth="1"/>
    <col min="10" max="10" width="14.88671875" style="324" customWidth="1"/>
    <col min="11" max="11" width="16.88671875" style="324" customWidth="1"/>
    <col min="12" max="12" width="18" style="20" customWidth="1"/>
    <col min="13" max="13" width="36" style="20" customWidth="1"/>
    <col min="14" max="14" width="15" style="20" customWidth="1"/>
    <col min="15" max="15" width="13.44140625" style="20" customWidth="1"/>
    <col min="16" max="16" width="11.33203125" style="20" customWidth="1"/>
    <col min="17" max="17" width="13.6640625" style="2" hidden="1" customWidth="1"/>
    <col min="18" max="18" width="16.109375" style="2" customWidth="1"/>
    <col min="19" max="19" width="14.33203125" style="2" customWidth="1"/>
    <col min="20" max="22" width="9.109375" style="2"/>
    <col min="23" max="23" width="14.88671875" style="2" customWidth="1"/>
    <col min="24" max="16384" width="9.109375" style="2"/>
  </cols>
  <sheetData>
    <row r="1" spans="1:23" s="80" customFormat="1" ht="17.399999999999999" x14ac:dyDescent="0.3">
      <c r="A1" s="439" t="s">
        <v>691</v>
      </c>
      <c r="B1" s="439"/>
      <c r="C1" s="439"/>
      <c r="D1" s="439"/>
      <c r="E1" s="439"/>
      <c r="F1" s="439"/>
      <c r="G1" s="439"/>
      <c r="H1" s="439"/>
      <c r="I1" s="439"/>
      <c r="J1" s="439"/>
      <c r="K1" s="439"/>
      <c r="L1" s="439"/>
      <c r="M1" s="439"/>
      <c r="N1" s="439"/>
      <c r="O1" s="439"/>
      <c r="P1" s="439"/>
    </row>
    <row r="2" spans="1:23" s="350" customFormat="1" ht="18.600000000000001" customHeight="1" x14ac:dyDescent="0.3">
      <c r="A2" s="440"/>
      <c r="B2" s="440"/>
      <c r="C2" s="440"/>
      <c r="D2" s="440"/>
      <c r="E2" s="440"/>
      <c r="F2" s="440"/>
      <c r="G2" s="440"/>
      <c r="H2" s="440"/>
      <c r="I2" s="440"/>
      <c r="J2" s="440"/>
      <c r="K2" s="440"/>
      <c r="L2" s="440"/>
      <c r="M2" s="440"/>
      <c r="N2" s="440"/>
      <c r="O2" s="440"/>
      <c r="P2" s="440"/>
    </row>
    <row r="3" spans="1:23" ht="18.600000000000001" customHeight="1" x14ac:dyDescent="0.3">
      <c r="A3" s="447" t="s">
        <v>0</v>
      </c>
      <c r="B3" s="447" t="s">
        <v>20</v>
      </c>
      <c r="C3" s="447" t="s">
        <v>216</v>
      </c>
      <c r="D3" s="447" t="s">
        <v>217</v>
      </c>
      <c r="E3" s="441" t="s">
        <v>734</v>
      </c>
      <c r="F3" s="442"/>
      <c r="G3" s="442"/>
      <c r="H3" s="442"/>
      <c r="I3" s="442"/>
      <c r="J3" s="443"/>
      <c r="K3" s="447" t="s">
        <v>750</v>
      </c>
      <c r="L3" s="447" t="s">
        <v>219</v>
      </c>
      <c r="M3" s="447" t="s">
        <v>87</v>
      </c>
      <c r="N3" s="447" t="s">
        <v>220</v>
      </c>
      <c r="O3" s="447" t="s">
        <v>584</v>
      </c>
      <c r="P3" s="447" t="s">
        <v>221</v>
      </c>
    </row>
    <row r="4" spans="1:23" ht="18" customHeight="1" x14ac:dyDescent="0.3">
      <c r="A4" s="448"/>
      <c r="B4" s="448"/>
      <c r="C4" s="448"/>
      <c r="D4" s="448"/>
      <c r="E4" s="450" t="s">
        <v>732</v>
      </c>
      <c r="F4" s="450" t="s">
        <v>733</v>
      </c>
      <c r="G4" s="450"/>
      <c r="H4" s="450"/>
      <c r="I4" s="450"/>
      <c r="J4" s="450"/>
      <c r="K4" s="448"/>
      <c r="L4" s="448"/>
      <c r="M4" s="448"/>
      <c r="N4" s="448"/>
      <c r="O4" s="448"/>
      <c r="P4" s="448"/>
    </row>
    <row r="5" spans="1:23" ht="112.5" customHeight="1" x14ac:dyDescent="0.3">
      <c r="A5" s="449"/>
      <c r="B5" s="449"/>
      <c r="C5" s="449"/>
      <c r="D5" s="449"/>
      <c r="E5" s="450"/>
      <c r="F5" s="11" t="s">
        <v>731</v>
      </c>
      <c r="G5" s="11"/>
      <c r="H5" s="11"/>
      <c r="I5" s="11"/>
      <c r="J5" s="11" t="s">
        <v>751</v>
      </c>
      <c r="K5" s="449"/>
      <c r="L5" s="449"/>
      <c r="M5" s="449"/>
      <c r="N5" s="449"/>
      <c r="O5" s="449"/>
      <c r="P5" s="449"/>
    </row>
    <row r="6" spans="1:23" s="320" customFormat="1" x14ac:dyDescent="0.3">
      <c r="A6" s="10">
        <v>1</v>
      </c>
      <c r="B6" s="10">
        <v>2</v>
      </c>
      <c r="C6" s="10">
        <v>3</v>
      </c>
      <c r="D6" s="10">
        <v>4</v>
      </c>
      <c r="E6" s="444">
        <v>5</v>
      </c>
      <c r="F6" s="445"/>
      <c r="G6" s="445"/>
      <c r="H6" s="445"/>
      <c r="I6" s="445"/>
      <c r="J6" s="446"/>
      <c r="K6" s="384"/>
      <c r="L6" s="10">
        <v>6</v>
      </c>
      <c r="M6" s="10">
        <v>7</v>
      </c>
      <c r="N6" s="10">
        <v>8</v>
      </c>
      <c r="O6" s="10">
        <v>9</v>
      </c>
      <c r="P6" s="10">
        <v>10</v>
      </c>
    </row>
    <row r="7" spans="1:23" s="71" customFormat="1" ht="48" customHeight="1" x14ac:dyDescent="0.3">
      <c r="A7" s="9" t="s">
        <v>222</v>
      </c>
      <c r="B7" s="343" t="s">
        <v>580</v>
      </c>
      <c r="C7" s="3"/>
      <c r="D7" s="9"/>
      <c r="E7" s="340">
        <f>E8+E9</f>
        <v>19900</v>
      </c>
      <c r="F7" s="390"/>
      <c r="G7" s="390"/>
      <c r="H7" s="390"/>
      <c r="I7" s="390"/>
      <c r="J7" s="340">
        <f>+J8+J9</f>
        <v>19900</v>
      </c>
      <c r="K7" s="340"/>
      <c r="L7" s="9"/>
      <c r="M7" s="9"/>
      <c r="N7" s="9"/>
      <c r="O7" s="9"/>
      <c r="P7" s="381"/>
    </row>
    <row r="8" spans="1:23" ht="171.6" x14ac:dyDescent="0.3">
      <c r="A8" s="4">
        <v>1</v>
      </c>
      <c r="B8" s="7" t="s">
        <v>698</v>
      </c>
      <c r="C8" s="325" t="s">
        <v>699</v>
      </c>
      <c r="D8" s="12" t="s">
        <v>583</v>
      </c>
      <c r="E8" s="333">
        <v>5000</v>
      </c>
      <c r="F8" s="391"/>
      <c r="G8" s="391"/>
      <c r="H8" s="391"/>
      <c r="I8" s="391"/>
      <c r="J8" s="333">
        <v>5000</v>
      </c>
      <c r="K8" s="333"/>
      <c r="L8" s="12" t="s">
        <v>700</v>
      </c>
      <c r="M8" s="7" t="s">
        <v>701</v>
      </c>
      <c r="N8" s="12" t="s">
        <v>702</v>
      </c>
      <c r="O8" s="12" t="s">
        <v>703</v>
      </c>
      <c r="P8" s="12"/>
      <c r="Q8" s="12" t="s">
        <v>715</v>
      </c>
      <c r="R8" s="12" t="s">
        <v>715</v>
      </c>
    </row>
    <row r="9" spans="1:23" ht="156.75" customHeight="1" x14ac:dyDescent="0.3">
      <c r="A9" s="4">
        <v>2</v>
      </c>
      <c r="B9" s="7" t="s">
        <v>742</v>
      </c>
      <c r="C9" s="325" t="s">
        <v>743</v>
      </c>
      <c r="D9" s="12" t="s">
        <v>583</v>
      </c>
      <c r="E9" s="333">
        <v>14900</v>
      </c>
      <c r="F9" s="391"/>
      <c r="G9" s="391"/>
      <c r="H9" s="391"/>
      <c r="I9" s="391"/>
      <c r="J9" s="393">
        <v>14900</v>
      </c>
      <c r="K9" s="68"/>
      <c r="L9" s="12" t="s">
        <v>577</v>
      </c>
      <c r="M9" s="7" t="s">
        <v>744</v>
      </c>
      <c r="N9" s="12" t="s">
        <v>651</v>
      </c>
      <c r="O9" s="12" t="s">
        <v>704</v>
      </c>
      <c r="P9" s="68"/>
      <c r="R9" s="2" t="s">
        <v>752</v>
      </c>
      <c r="W9" s="385"/>
    </row>
    <row r="10" spans="1:23" ht="48.75" customHeight="1" x14ac:dyDescent="0.3">
      <c r="A10" s="9" t="s">
        <v>254</v>
      </c>
      <c r="B10" s="355" t="s">
        <v>654</v>
      </c>
      <c r="C10" s="355"/>
      <c r="D10" s="11"/>
      <c r="E10" s="341">
        <f>SUM(E11:E16)</f>
        <v>390000</v>
      </c>
      <c r="F10" s="341">
        <f>SUM(F11:F16)</f>
        <v>62660</v>
      </c>
      <c r="G10" s="341"/>
      <c r="H10" s="341"/>
      <c r="I10" s="341"/>
      <c r="J10" s="340">
        <f>SUM(J11:J16)</f>
        <v>327340</v>
      </c>
      <c r="K10" s="6"/>
      <c r="L10" s="9"/>
      <c r="M10" s="3"/>
      <c r="N10" s="9"/>
      <c r="O10" s="9"/>
      <c r="P10" s="12"/>
      <c r="Q10" s="12"/>
    </row>
    <row r="11" spans="1:23" ht="183" customHeight="1" x14ac:dyDescent="0.3">
      <c r="A11" s="4">
        <v>1</v>
      </c>
      <c r="B11" s="7" t="s">
        <v>707</v>
      </c>
      <c r="C11" s="382" t="s">
        <v>692</v>
      </c>
      <c r="D11" s="12" t="s">
        <v>583</v>
      </c>
      <c r="E11" s="333">
        <v>56400</v>
      </c>
      <c r="F11" s="392">
        <f>4.53*2000</f>
        <v>9060</v>
      </c>
      <c r="G11" s="392"/>
      <c r="H11" s="392"/>
      <c r="I11" s="392"/>
      <c r="J11" s="333">
        <f t="shared" ref="J11:J16" si="0">E11-F11</f>
        <v>47340</v>
      </c>
      <c r="K11" s="333">
        <f>4.53*10452</f>
        <v>47347.560000000005</v>
      </c>
      <c r="L11" s="12" t="s">
        <v>578</v>
      </c>
      <c r="M11" s="7" t="s">
        <v>693</v>
      </c>
      <c r="N11" s="12" t="s">
        <v>649</v>
      </c>
      <c r="O11" s="12" t="s">
        <v>704</v>
      </c>
      <c r="P11" s="12"/>
      <c r="Q11" s="12" t="s">
        <v>725</v>
      </c>
      <c r="R11" s="12" t="s">
        <v>725</v>
      </c>
      <c r="S11" s="394">
        <f>+E11-F11</f>
        <v>47340</v>
      </c>
    </row>
    <row r="12" spans="1:23" ht="171.6" x14ac:dyDescent="0.3">
      <c r="A12" s="4">
        <v>2</v>
      </c>
      <c r="B12" s="7" t="s">
        <v>708</v>
      </c>
      <c r="C12" s="382" t="s">
        <v>655</v>
      </c>
      <c r="D12" s="12" t="s">
        <v>583</v>
      </c>
      <c r="E12" s="333">
        <v>122000</v>
      </c>
      <c r="F12" s="392">
        <f>9.8*2000</f>
        <v>19600</v>
      </c>
      <c r="G12" s="392"/>
      <c r="H12" s="392"/>
      <c r="I12" s="392"/>
      <c r="J12" s="333">
        <f t="shared" si="0"/>
        <v>102400</v>
      </c>
      <c r="K12" s="333">
        <f>9.8*10452</f>
        <v>102429.6</v>
      </c>
      <c r="L12" s="12" t="s">
        <v>578</v>
      </c>
      <c r="M12" s="7" t="s">
        <v>648</v>
      </c>
      <c r="N12" s="12" t="s">
        <v>656</v>
      </c>
      <c r="O12" s="12" t="s">
        <v>745</v>
      </c>
      <c r="P12" s="12"/>
      <c r="Q12" s="12" t="s">
        <v>716</v>
      </c>
      <c r="R12" s="12" t="s">
        <v>716</v>
      </c>
      <c r="S12" s="2">
        <f>9.8*9762</f>
        <v>95667.6</v>
      </c>
    </row>
    <row r="13" spans="1:23" ht="156" x14ac:dyDescent="0.3">
      <c r="A13" s="4">
        <v>3</v>
      </c>
      <c r="B13" s="7" t="s">
        <v>694</v>
      </c>
      <c r="C13" s="325" t="s">
        <v>695</v>
      </c>
      <c r="D13" s="12" t="s">
        <v>583</v>
      </c>
      <c r="E13" s="333">
        <v>21200</v>
      </c>
      <c r="F13" s="392">
        <f>1.7*2000</f>
        <v>3400</v>
      </c>
      <c r="G13" s="392"/>
      <c r="H13" s="392"/>
      <c r="I13" s="392"/>
      <c r="J13" s="333">
        <f t="shared" si="0"/>
        <v>17800</v>
      </c>
      <c r="K13" s="333">
        <f>1.7*10452</f>
        <v>17768.399999999998</v>
      </c>
      <c r="L13" s="12" t="s">
        <v>578</v>
      </c>
      <c r="M13" s="7" t="s">
        <v>650</v>
      </c>
      <c r="N13" s="12" t="s">
        <v>651</v>
      </c>
      <c r="O13" s="12" t="s">
        <v>741</v>
      </c>
      <c r="P13" s="12"/>
      <c r="Q13" s="12" t="s">
        <v>717</v>
      </c>
      <c r="R13" s="12" t="s">
        <v>717</v>
      </c>
      <c r="S13" s="394">
        <f>+J13+F13</f>
        <v>21200</v>
      </c>
    </row>
    <row r="14" spans="1:23" ht="187.2" x14ac:dyDescent="0.3">
      <c r="A14" s="4">
        <v>4</v>
      </c>
      <c r="B14" s="7" t="s">
        <v>652</v>
      </c>
      <c r="C14" s="325" t="s">
        <v>696</v>
      </c>
      <c r="D14" s="12" t="s">
        <v>583</v>
      </c>
      <c r="E14" s="333">
        <v>78400</v>
      </c>
      <c r="F14" s="392">
        <f>6.3*2000</f>
        <v>12600</v>
      </c>
      <c r="G14" s="392"/>
      <c r="H14" s="392"/>
      <c r="I14" s="392"/>
      <c r="J14" s="333">
        <f t="shared" si="0"/>
        <v>65800</v>
      </c>
      <c r="K14" s="333">
        <f>6.3*10452</f>
        <v>65847.599999999991</v>
      </c>
      <c r="L14" s="12" t="s">
        <v>578</v>
      </c>
      <c r="M14" s="7" t="s">
        <v>697</v>
      </c>
      <c r="N14" s="12" t="s">
        <v>646</v>
      </c>
      <c r="O14" s="12" t="s">
        <v>745</v>
      </c>
      <c r="P14" s="12"/>
      <c r="Q14" s="12" t="s">
        <v>718</v>
      </c>
      <c r="R14" s="12" t="s">
        <v>718</v>
      </c>
      <c r="S14" s="2">
        <f>1.7*12452</f>
        <v>21168.399999999998</v>
      </c>
    </row>
    <row r="15" spans="1:23" ht="223.5" customHeight="1" x14ac:dyDescent="0.3">
      <c r="A15" s="4">
        <v>5</v>
      </c>
      <c r="B15" s="7" t="s">
        <v>735</v>
      </c>
      <c r="C15" s="325" t="s">
        <v>737</v>
      </c>
      <c r="D15" s="12" t="s">
        <v>583</v>
      </c>
      <c r="E15" s="333">
        <v>64700</v>
      </c>
      <c r="F15" s="392">
        <f>5.2*2000</f>
        <v>10400</v>
      </c>
      <c r="G15" s="392"/>
      <c r="H15" s="392"/>
      <c r="I15" s="392"/>
      <c r="J15" s="333">
        <f t="shared" si="0"/>
        <v>54300</v>
      </c>
      <c r="K15" s="333">
        <f>5.2*10452</f>
        <v>54350.400000000001</v>
      </c>
      <c r="L15" s="12" t="s">
        <v>578</v>
      </c>
      <c r="M15" s="7" t="s">
        <v>706</v>
      </c>
      <c r="N15" s="12" t="s">
        <v>739</v>
      </c>
      <c r="O15" s="12" t="s">
        <v>745</v>
      </c>
      <c r="P15" s="386"/>
      <c r="Q15" s="386" t="s">
        <v>726</v>
      </c>
      <c r="R15" s="395" t="s">
        <v>753</v>
      </c>
    </row>
    <row r="16" spans="1:23" ht="211.5" customHeight="1" x14ac:dyDescent="0.3">
      <c r="A16" s="4">
        <v>6</v>
      </c>
      <c r="B16" s="7" t="s">
        <v>736</v>
      </c>
      <c r="C16" s="325" t="s">
        <v>738</v>
      </c>
      <c r="D16" s="12" t="s">
        <v>583</v>
      </c>
      <c r="E16" s="333">
        <v>47300</v>
      </c>
      <c r="F16" s="392">
        <f>3.8*2000</f>
        <v>7600</v>
      </c>
      <c r="G16" s="392"/>
      <c r="H16" s="392"/>
      <c r="I16" s="392"/>
      <c r="J16" s="333">
        <f t="shared" si="0"/>
        <v>39700</v>
      </c>
      <c r="K16" s="333">
        <f>3.8*10452</f>
        <v>39717.599999999999</v>
      </c>
      <c r="L16" s="12" t="s">
        <v>578</v>
      </c>
      <c r="M16" s="7" t="s">
        <v>706</v>
      </c>
      <c r="N16" s="12" t="s">
        <v>740</v>
      </c>
      <c r="O16" s="12" t="s">
        <v>741</v>
      </c>
      <c r="P16" s="386"/>
      <c r="Q16" s="387"/>
      <c r="R16" s="395" t="s">
        <v>754</v>
      </c>
      <c r="U16" s="385"/>
    </row>
    <row r="17" spans="1:16" ht="27" customHeight="1" x14ac:dyDescent="0.3">
      <c r="A17" s="3"/>
      <c r="B17" s="9" t="s">
        <v>19</v>
      </c>
      <c r="C17" s="3"/>
      <c r="D17" s="9"/>
      <c r="E17" s="340">
        <f>SUM(E11:E16)</f>
        <v>390000</v>
      </c>
      <c r="F17" s="340">
        <f>SUM(F11:F16)</f>
        <v>62660</v>
      </c>
      <c r="G17" s="340"/>
      <c r="H17" s="340"/>
      <c r="I17" s="340"/>
      <c r="J17" s="340">
        <f>SUM(J11:J16)</f>
        <v>327340</v>
      </c>
      <c r="K17" s="340">
        <f>SUM(K11:K16)</f>
        <v>327461.15999999997</v>
      </c>
      <c r="L17" s="9"/>
      <c r="M17" s="9"/>
      <c r="N17" s="9"/>
      <c r="O17" s="9"/>
      <c r="P17" s="9"/>
    </row>
  </sheetData>
  <mergeCells count="16">
    <mergeCell ref="A1:P1"/>
    <mergeCell ref="A2:P2"/>
    <mergeCell ref="E3:J3"/>
    <mergeCell ref="E6:J6"/>
    <mergeCell ref="P3:P5"/>
    <mergeCell ref="O3:O5"/>
    <mergeCell ref="N3:N5"/>
    <mergeCell ref="M3:M5"/>
    <mergeCell ref="L3:L5"/>
    <mergeCell ref="D3:D5"/>
    <mergeCell ref="C3:C5"/>
    <mergeCell ref="B3:B5"/>
    <mergeCell ref="A3:A5"/>
    <mergeCell ref="F4:J4"/>
    <mergeCell ref="E4:E5"/>
    <mergeCell ref="K3:K5"/>
  </mergeCells>
  <printOptions horizontalCentered="1"/>
  <pageMargins left="0.35433070866141736" right="0.27559055118110237" top="0.39370078740157483" bottom="0.15748031496062992" header="0.19685039370078741" footer="0.39370078740157483"/>
  <pageSetup paperSize="9" scale="61"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M85"/>
  <sheetViews>
    <sheetView topLeftCell="A29" zoomScaleSheetLayoutView="55" workbookViewId="0">
      <selection activeCell="D23" sqref="D23"/>
    </sheetView>
  </sheetViews>
  <sheetFormatPr defaultColWidth="9.109375" defaultRowHeight="15.6" x14ac:dyDescent="0.3"/>
  <cols>
    <col min="1" max="1" width="5.109375" style="101" customWidth="1"/>
    <col min="2" max="2" width="42" style="102" customWidth="1"/>
    <col min="3" max="3" width="27.109375" style="101" customWidth="1"/>
    <col min="4" max="4" width="14.6640625" style="102" customWidth="1"/>
    <col min="5" max="5" width="14.33203125" style="103" customWidth="1"/>
    <col min="6" max="6" width="17.44140625" style="101" customWidth="1"/>
    <col min="7" max="7" width="18.44140625" style="101" customWidth="1"/>
    <col min="8" max="8" width="16" style="101" customWidth="1"/>
    <col min="9" max="16384" width="9.109375" style="102"/>
  </cols>
  <sheetData>
    <row r="1" spans="1:8" x14ac:dyDescent="0.3">
      <c r="A1" s="166"/>
      <c r="B1" s="166" t="s">
        <v>277</v>
      </c>
      <c r="C1" s="432" t="s">
        <v>278</v>
      </c>
      <c r="D1" s="432"/>
      <c r="E1" s="432"/>
      <c r="F1" s="432"/>
      <c r="G1" s="432"/>
      <c r="H1" s="432"/>
    </row>
    <row r="2" spans="1:8" x14ac:dyDescent="0.3">
      <c r="A2" s="166"/>
      <c r="B2" s="171" t="s">
        <v>320</v>
      </c>
      <c r="C2" s="433" t="s">
        <v>279</v>
      </c>
      <c r="D2" s="433"/>
      <c r="E2" s="433"/>
      <c r="F2" s="433"/>
      <c r="G2" s="433"/>
      <c r="H2" s="433"/>
    </row>
    <row r="3" spans="1:8" s="283" customFormat="1" ht="27.75" customHeight="1" x14ac:dyDescent="0.3">
      <c r="A3" s="453" t="s">
        <v>525</v>
      </c>
      <c r="B3" s="453"/>
      <c r="C3" s="453"/>
      <c r="D3" s="453"/>
      <c r="E3" s="453"/>
      <c r="F3" s="453"/>
      <c r="G3" s="453"/>
      <c r="H3" s="453"/>
    </row>
    <row r="4" spans="1:8" ht="23.25" customHeight="1" x14ac:dyDescent="0.3">
      <c r="A4" s="452" t="s">
        <v>428</v>
      </c>
      <c r="B4" s="452"/>
      <c r="C4" s="452"/>
      <c r="D4" s="452"/>
      <c r="E4" s="452"/>
      <c r="F4" s="452"/>
      <c r="G4" s="452"/>
      <c r="H4" s="452"/>
    </row>
    <row r="5" spans="1:8" ht="16.8" hidden="1" x14ac:dyDescent="0.3">
      <c r="A5" s="435" t="s">
        <v>215</v>
      </c>
      <c r="B5" s="435"/>
      <c r="C5" s="435"/>
      <c r="D5" s="435"/>
      <c r="E5" s="435"/>
      <c r="F5" s="435"/>
      <c r="G5" s="435"/>
      <c r="H5" s="435"/>
    </row>
    <row r="6" spans="1:8" ht="10.5" customHeight="1" x14ac:dyDescent="0.3">
      <c r="E6" s="428"/>
      <c r="F6" s="428"/>
      <c r="G6" s="428"/>
      <c r="H6" s="428"/>
    </row>
    <row r="7" spans="1:8" s="29" customFormat="1" ht="46.8" x14ac:dyDescent="0.3">
      <c r="A7" s="104" t="s">
        <v>0</v>
      </c>
      <c r="B7" s="104" t="s">
        <v>20</v>
      </c>
      <c r="C7" s="104" t="s">
        <v>216</v>
      </c>
      <c r="D7" s="104" t="s">
        <v>217</v>
      </c>
      <c r="E7" s="104" t="s">
        <v>534</v>
      </c>
      <c r="F7" s="104" t="s">
        <v>219</v>
      </c>
      <c r="G7" s="104" t="s">
        <v>220</v>
      </c>
      <c r="H7" s="104" t="s">
        <v>221</v>
      </c>
    </row>
    <row r="8" spans="1:8" s="108" customFormat="1" x14ac:dyDescent="0.3">
      <c r="A8" s="107">
        <v>1</v>
      </c>
      <c r="B8" s="107">
        <v>2</v>
      </c>
      <c r="C8" s="107">
        <v>3</v>
      </c>
      <c r="D8" s="107">
        <v>4</v>
      </c>
      <c r="E8" s="107">
        <v>5</v>
      </c>
      <c r="F8" s="107">
        <v>6</v>
      </c>
      <c r="G8" s="107">
        <v>5</v>
      </c>
      <c r="H8" s="107"/>
    </row>
    <row r="9" spans="1:8" s="108" customFormat="1" ht="20.25" hidden="1" customHeight="1" x14ac:dyDescent="0.3">
      <c r="A9" s="107"/>
      <c r="B9" s="107"/>
      <c r="C9" s="107"/>
      <c r="D9" s="107"/>
      <c r="E9" s="107"/>
      <c r="F9" s="107"/>
      <c r="G9" s="107"/>
      <c r="H9" s="107"/>
    </row>
    <row r="10" spans="1:8" s="29" customFormat="1" hidden="1" x14ac:dyDescent="0.3">
      <c r="A10" s="106" t="s">
        <v>222</v>
      </c>
      <c r="B10" s="106" t="s">
        <v>318</v>
      </c>
      <c r="C10" s="106"/>
      <c r="D10" s="284"/>
      <c r="E10" s="285"/>
      <c r="F10" s="286"/>
      <c r="G10" s="286"/>
      <c r="H10" s="286"/>
    </row>
    <row r="11" spans="1:8" s="29" customFormat="1" ht="78" hidden="1" x14ac:dyDescent="0.3">
      <c r="A11" s="287">
        <v>1</v>
      </c>
      <c r="B11" s="238" t="s">
        <v>259</v>
      </c>
      <c r="C11" s="287" t="s">
        <v>262</v>
      </c>
      <c r="D11" s="288" t="s">
        <v>263</v>
      </c>
      <c r="E11" s="289"/>
      <c r="F11" s="290"/>
      <c r="G11" s="288" t="s">
        <v>264</v>
      </c>
      <c r="H11" s="288"/>
    </row>
    <row r="12" spans="1:8" s="29" customFormat="1" ht="31.2" hidden="1" x14ac:dyDescent="0.3">
      <c r="A12" s="287">
        <v>2</v>
      </c>
      <c r="B12" s="238" t="s">
        <v>260</v>
      </c>
      <c r="C12" s="287" t="s">
        <v>262</v>
      </c>
      <c r="D12" s="288" t="s">
        <v>263</v>
      </c>
      <c r="E12" s="289"/>
      <c r="F12" s="290"/>
      <c r="G12" s="288" t="s">
        <v>265</v>
      </c>
      <c r="H12" s="288"/>
    </row>
    <row r="13" spans="1:8" s="29" customFormat="1" ht="31.2" hidden="1" x14ac:dyDescent="0.3">
      <c r="A13" s="287">
        <v>3</v>
      </c>
      <c r="B13" s="238" t="s">
        <v>308</v>
      </c>
      <c r="C13" s="287" t="s">
        <v>262</v>
      </c>
      <c r="D13" s="288" t="s">
        <v>263</v>
      </c>
      <c r="E13" s="289"/>
      <c r="F13" s="290"/>
      <c r="G13" s="288" t="s">
        <v>309</v>
      </c>
      <c r="H13" s="288"/>
    </row>
    <row r="14" spans="1:8" s="67" customFormat="1" ht="18.75" customHeight="1" x14ac:dyDescent="0.3">
      <c r="A14" s="291" t="s">
        <v>401</v>
      </c>
      <c r="B14" s="291" t="s">
        <v>400</v>
      </c>
      <c r="C14" s="292"/>
      <c r="D14" s="293"/>
      <c r="E14" s="294"/>
      <c r="F14" s="295"/>
      <c r="G14" s="293"/>
      <c r="H14" s="293"/>
    </row>
    <row r="15" spans="1:8" s="29" customFormat="1" ht="19.5" customHeight="1" x14ac:dyDescent="0.3">
      <c r="A15" s="106" t="s">
        <v>222</v>
      </c>
      <c r="B15" s="105" t="s">
        <v>223</v>
      </c>
      <c r="C15" s="288"/>
      <c r="D15" s="288"/>
      <c r="E15" s="289"/>
      <c r="F15" s="296"/>
      <c r="G15" s="296"/>
      <c r="H15" s="296"/>
    </row>
    <row r="16" spans="1:8" s="29" customFormat="1" ht="55.2" x14ac:dyDescent="0.25">
      <c r="A16" s="287">
        <v>1</v>
      </c>
      <c r="B16" s="297" t="s">
        <v>489</v>
      </c>
      <c r="C16" s="229">
        <v>3.46</v>
      </c>
      <c r="D16" s="288" t="s">
        <v>224</v>
      </c>
      <c r="E16" s="289">
        <f>+C16*9500</f>
        <v>32870</v>
      </c>
      <c r="F16" s="296" t="s">
        <v>555</v>
      </c>
      <c r="G16" s="296" t="s">
        <v>495</v>
      </c>
      <c r="H16" s="296"/>
    </row>
    <row r="17" spans="1:13" s="29" customFormat="1" ht="55.2" x14ac:dyDescent="0.25">
      <c r="A17" s="298">
        <f>+MAX($A$15:A16)+1</f>
        <v>2</v>
      </c>
      <c r="B17" s="297" t="s">
        <v>490</v>
      </c>
      <c r="C17" s="229">
        <v>0.97</v>
      </c>
      <c r="D17" s="288" t="s">
        <v>224</v>
      </c>
      <c r="E17" s="289">
        <f>+C17*9500</f>
        <v>9215</v>
      </c>
      <c r="F17" s="296" t="s">
        <v>555</v>
      </c>
      <c r="G17" s="296" t="s">
        <v>495</v>
      </c>
      <c r="H17" s="296"/>
    </row>
    <row r="18" spans="1:13" s="29" customFormat="1" ht="55.2" x14ac:dyDescent="0.25">
      <c r="A18" s="298">
        <f>+MAX($A$15:A17)+1</f>
        <v>3</v>
      </c>
      <c r="B18" s="297" t="s">
        <v>491</v>
      </c>
      <c r="C18" s="229">
        <v>0.45</v>
      </c>
      <c r="D18" s="288" t="s">
        <v>224</v>
      </c>
      <c r="E18" s="289">
        <f>+C18*9500</f>
        <v>4275</v>
      </c>
      <c r="F18" s="296" t="s">
        <v>555</v>
      </c>
      <c r="G18" s="296" t="s">
        <v>495</v>
      </c>
      <c r="H18" s="296"/>
    </row>
    <row r="19" spans="1:13" s="29" customFormat="1" ht="55.2" hidden="1" x14ac:dyDescent="0.25">
      <c r="A19" s="298"/>
      <c r="B19" s="297" t="s">
        <v>492</v>
      </c>
      <c r="C19" s="229">
        <v>7.0000000000000007E-2</v>
      </c>
      <c r="D19" s="451" t="s">
        <v>560</v>
      </c>
      <c r="E19" s="451"/>
      <c r="F19" s="451"/>
      <c r="G19" s="296" t="s">
        <v>495</v>
      </c>
      <c r="H19" s="296"/>
    </row>
    <row r="20" spans="1:13" s="29" customFormat="1" ht="55.2" x14ac:dyDescent="0.3">
      <c r="A20" s="298">
        <f>+MAX($A$15:A19)+1</f>
        <v>4</v>
      </c>
      <c r="B20" s="299" t="s">
        <v>493</v>
      </c>
      <c r="C20" s="229">
        <v>3.85</v>
      </c>
      <c r="D20" s="288" t="s">
        <v>224</v>
      </c>
      <c r="E20" s="289">
        <f>+C20*9500</f>
        <v>36575</v>
      </c>
      <c r="F20" s="296" t="s">
        <v>555</v>
      </c>
      <c r="G20" s="296" t="s">
        <v>496</v>
      </c>
      <c r="H20" s="296"/>
    </row>
    <row r="21" spans="1:13" s="67" customFormat="1" ht="73.5" customHeight="1" x14ac:dyDescent="0.3">
      <c r="A21" s="292">
        <f>+MAX($A$15:A20)+1</f>
        <v>5</v>
      </c>
      <c r="B21" s="317" t="s">
        <v>402</v>
      </c>
      <c r="C21" s="293" t="s">
        <v>535</v>
      </c>
      <c r="D21" s="293" t="s">
        <v>224</v>
      </c>
      <c r="E21" s="294">
        <f>10*37000</f>
        <v>370000</v>
      </c>
      <c r="F21" s="318" t="s">
        <v>529</v>
      </c>
      <c r="G21" s="318" t="s">
        <v>414</v>
      </c>
      <c r="H21" s="318"/>
    </row>
    <row r="22" spans="1:13" s="29" customFormat="1" ht="51" customHeight="1" x14ac:dyDescent="0.3">
      <c r="A22" s="298">
        <f>+MAX($A$15:A21)+1</f>
        <v>6</v>
      </c>
      <c r="B22" s="300" t="s">
        <v>526</v>
      </c>
      <c r="C22" s="288" t="s">
        <v>536</v>
      </c>
      <c r="D22" s="288" t="s">
        <v>224</v>
      </c>
      <c r="E22" s="289">
        <v>10000</v>
      </c>
      <c r="F22" s="296" t="s">
        <v>529</v>
      </c>
      <c r="G22" s="296" t="s">
        <v>468</v>
      </c>
      <c r="H22" s="296"/>
    </row>
    <row r="23" spans="1:13" s="29" customFormat="1" ht="42" customHeight="1" x14ac:dyDescent="0.3">
      <c r="A23" s="298">
        <f>+MAX($A$15:A22)+1</f>
        <v>7</v>
      </c>
      <c r="B23" s="300" t="s">
        <v>531</v>
      </c>
      <c r="C23" s="288" t="s">
        <v>533</v>
      </c>
      <c r="D23" s="288" t="s">
        <v>224</v>
      </c>
      <c r="E23" s="289">
        <f>+(1625)*2.6</f>
        <v>4225</v>
      </c>
      <c r="F23" s="296" t="s">
        <v>529</v>
      </c>
      <c r="G23" s="296" t="s">
        <v>395</v>
      </c>
      <c r="H23" s="296"/>
    </row>
    <row r="24" spans="1:13" s="29" customFormat="1" ht="49.5" customHeight="1" x14ac:dyDescent="0.3">
      <c r="A24" s="298">
        <f>+MAX($A$15:A23)+1</f>
        <v>8</v>
      </c>
      <c r="B24" s="300" t="s">
        <v>559</v>
      </c>
      <c r="C24" s="288" t="s">
        <v>562</v>
      </c>
      <c r="D24" s="288" t="s">
        <v>224</v>
      </c>
      <c r="E24" s="289">
        <f>2.6*1400</f>
        <v>3640</v>
      </c>
      <c r="F24" s="296" t="s">
        <v>529</v>
      </c>
      <c r="G24" s="296" t="s">
        <v>395</v>
      </c>
      <c r="H24" s="296" t="s">
        <v>561</v>
      </c>
      <c r="M24" s="29">
        <f>+(2700*2-2200)*3</f>
        <v>9600</v>
      </c>
    </row>
    <row r="25" spans="1:13" s="29" customFormat="1" ht="67.5" customHeight="1" x14ac:dyDescent="0.3">
      <c r="A25" s="287">
        <f>+MAX($A$15:A24)+1</f>
        <v>9</v>
      </c>
      <c r="B25" s="312" t="s">
        <v>568</v>
      </c>
      <c r="C25" s="288" t="s">
        <v>558</v>
      </c>
      <c r="D25" s="288" t="s">
        <v>224</v>
      </c>
      <c r="E25" s="289">
        <f>+M25*0.8</f>
        <v>6720</v>
      </c>
      <c r="F25" s="296" t="s">
        <v>529</v>
      </c>
      <c r="G25" s="296" t="s">
        <v>556</v>
      </c>
      <c r="H25" s="296" t="s">
        <v>557</v>
      </c>
      <c r="M25" s="29">
        <f>1400*2*3</f>
        <v>8400</v>
      </c>
    </row>
    <row r="26" spans="1:13" s="29" customFormat="1" ht="54.75" customHeight="1" x14ac:dyDescent="0.3">
      <c r="A26" s="287">
        <f>+MAX($A$15:A25)+1</f>
        <v>10</v>
      </c>
      <c r="B26" s="312" t="s">
        <v>567</v>
      </c>
      <c r="C26" s="288" t="s">
        <v>569</v>
      </c>
      <c r="D26" s="288" t="s">
        <v>224</v>
      </c>
      <c r="E26" s="152">
        <f>17000*2.3</f>
        <v>39100</v>
      </c>
      <c r="F26" s="296" t="s">
        <v>529</v>
      </c>
      <c r="G26" s="96" t="s">
        <v>570</v>
      </c>
      <c r="H26" s="296"/>
      <c r="J26" s="29" t="s">
        <v>573</v>
      </c>
    </row>
    <row r="27" spans="1:13" s="29" customFormat="1" ht="66" customHeight="1" x14ac:dyDescent="0.3">
      <c r="A27" s="287">
        <f>+MAX($A$15:A26)+1</f>
        <v>11</v>
      </c>
      <c r="B27" s="300" t="s">
        <v>527</v>
      </c>
      <c r="C27" s="288" t="s">
        <v>537</v>
      </c>
      <c r="D27" s="288" t="s">
        <v>224</v>
      </c>
      <c r="E27" s="289">
        <f>(94000/4)*2</f>
        <v>47000</v>
      </c>
      <c r="F27" s="296" t="s">
        <v>529</v>
      </c>
      <c r="G27" s="296" t="s">
        <v>528</v>
      </c>
      <c r="H27" s="296"/>
    </row>
    <row r="28" spans="1:13" s="29" customFormat="1" ht="41.25" customHeight="1" x14ac:dyDescent="0.3">
      <c r="A28" s="298">
        <f>+MAX($A$15:A27)+1</f>
        <v>12</v>
      </c>
      <c r="B28" s="280" t="s">
        <v>396</v>
      </c>
      <c r="C28" s="288" t="s">
        <v>538</v>
      </c>
      <c r="D28" s="288" t="s">
        <v>224</v>
      </c>
      <c r="E28" s="289">
        <v>54500</v>
      </c>
      <c r="F28" s="296" t="s">
        <v>529</v>
      </c>
      <c r="G28" s="296" t="s">
        <v>395</v>
      </c>
      <c r="H28" s="296"/>
    </row>
    <row r="29" spans="1:13" s="29" customFormat="1" ht="68.25" customHeight="1" x14ac:dyDescent="0.3">
      <c r="A29" s="298">
        <f>+MAX($A$15:A28)+1</f>
        <v>13</v>
      </c>
      <c r="B29" s="301" t="s">
        <v>397</v>
      </c>
      <c r="C29" s="288" t="s">
        <v>539</v>
      </c>
      <c r="D29" s="288" t="s">
        <v>224</v>
      </c>
      <c r="E29" s="289">
        <f>3*37000</f>
        <v>111000</v>
      </c>
      <c r="F29" s="296" t="s">
        <v>529</v>
      </c>
      <c r="G29" s="296" t="s">
        <v>310</v>
      </c>
      <c r="H29" s="296"/>
    </row>
    <row r="30" spans="1:13" s="29" customFormat="1" ht="20.25" customHeight="1" x14ac:dyDescent="0.3">
      <c r="A30" s="106" t="s">
        <v>254</v>
      </c>
      <c r="B30" s="105" t="s">
        <v>403</v>
      </c>
      <c r="C30" s="288"/>
      <c r="D30" s="288"/>
      <c r="E30" s="289"/>
      <c r="F30" s="296"/>
      <c r="G30" s="296"/>
      <c r="H30" s="296"/>
    </row>
    <row r="31" spans="1:13" s="29" customFormat="1" ht="49.5" customHeight="1" x14ac:dyDescent="0.3">
      <c r="A31" s="298">
        <f>+MAX($A$15:A30)+1</f>
        <v>14</v>
      </c>
      <c r="B31" s="300" t="s">
        <v>425</v>
      </c>
      <c r="C31" s="288" t="s">
        <v>540</v>
      </c>
      <c r="D31" s="288" t="s">
        <v>224</v>
      </c>
      <c r="E31" s="289">
        <v>25000</v>
      </c>
      <c r="F31" s="296" t="s">
        <v>530</v>
      </c>
      <c r="G31" s="296" t="s">
        <v>427</v>
      </c>
      <c r="H31" s="296"/>
    </row>
    <row r="32" spans="1:13" s="29" customFormat="1" ht="46.8" x14ac:dyDescent="0.3">
      <c r="A32" s="298">
        <f>+MAX($A$15:A31)+1</f>
        <v>15</v>
      </c>
      <c r="B32" s="300" t="s">
        <v>399</v>
      </c>
      <c r="C32" s="288" t="s">
        <v>541</v>
      </c>
      <c r="D32" s="288" t="s">
        <v>224</v>
      </c>
      <c r="E32" s="289">
        <v>540000</v>
      </c>
      <c r="F32" s="296" t="s">
        <v>530</v>
      </c>
      <c r="G32" s="296" t="s">
        <v>404</v>
      </c>
      <c r="H32" s="296"/>
    </row>
    <row r="33" spans="1:8" s="29" customFormat="1" ht="36.75" customHeight="1" x14ac:dyDescent="0.3">
      <c r="A33" s="298">
        <f>+MAX($A$15:A32)+1</f>
        <v>16</v>
      </c>
      <c r="B33" s="300" t="s">
        <v>392</v>
      </c>
      <c r="C33" s="288" t="s">
        <v>541</v>
      </c>
      <c r="D33" s="288" t="s">
        <v>224</v>
      </c>
      <c r="E33" s="289">
        <v>540000</v>
      </c>
      <c r="F33" s="296" t="s">
        <v>530</v>
      </c>
      <c r="G33" s="296" t="s">
        <v>394</v>
      </c>
      <c r="H33" s="296"/>
    </row>
    <row r="34" spans="1:8" s="67" customFormat="1" ht="36.75" customHeight="1" x14ac:dyDescent="0.3">
      <c r="A34" s="291" t="s">
        <v>418</v>
      </c>
      <c r="B34" s="302" t="s">
        <v>419</v>
      </c>
      <c r="C34" s="302"/>
      <c r="D34" s="302"/>
      <c r="E34" s="303"/>
      <c r="F34" s="304"/>
      <c r="G34" s="304"/>
      <c r="H34" s="304"/>
    </row>
    <row r="35" spans="1:8" s="127" customFormat="1" ht="36" customHeight="1" x14ac:dyDescent="0.3">
      <c r="A35" s="305" t="s">
        <v>222</v>
      </c>
      <c r="B35" s="306" t="s">
        <v>384</v>
      </c>
      <c r="C35" s="307"/>
      <c r="D35" s="308"/>
      <c r="E35" s="281"/>
      <c r="F35" s="282"/>
      <c r="G35" s="282"/>
      <c r="H35" s="282"/>
    </row>
    <row r="36" spans="1:8" s="127" customFormat="1" ht="78.75" customHeight="1" x14ac:dyDescent="0.3">
      <c r="A36" s="298">
        <f>+MAX($A$15:A35)+1</f>
        <v>17</v>
      </c>
      <c r="B36" s="309" t="s">
        <v>385</v>
      </c>
      <c r="C36" s="150">
        <v>0.97</v>
      </c>
      <c r="D36" s="151" t="s">
        <v>224</v>
      </c>
      <c r="E36" s="289">
        <f>+C36*9500</f>
        <v>9215</v>
      </c>
      <c r="F36" s="296" t="s">
        <v>555</v>
      </c>
      <c r="G36" s="153" t="s">
        <v>382</v>
      </c>
      <c r="H36" s="153" t="s">
        <v>542</v>
      </c>
    </row>
    <row r="37" spans="1:8" s="127" customFormat="1" ht="79.5" customHeight="1" x14ac:dyDescent="0.3">
      <c r="A37" s="298">
        <f>+MAX($A$15:A36)+1</f>
        <v>18</v>
      </c>
      <c r="B37" s="309" t="s">
        <v>386</v>
      </c>
      <c r="C37" s="150">
        <v>1.7</v>
      </c>
      <c r="D37" s="151" t="s">
        <v>224</v>
      </c>
      <c r="E37" s="289">
        <f t="shared" ref="E37:E57" si="0">+C37*9500</f>
        <v>16150</v>
      </c>
      <c r="F37" s="296" t="s">
        <v>555</v>
      </c>
      <c r="G37" s="153" t="s">
        <v>382</v>
      </c>
      <c r="H37" s="153" t="s">
        <v>542</v>
      </c>
    </row>
    <row r="38" spans="1:8" s="127" customFormat="1" ht="55.2" x14ac:dyDescent="0.3">
      <c r="A38" s="298">
        <f>+MAX($A$15:A37)+1</f>
        <v>19</v>
      </c>
      <c r="B38" s="309" t="s">
        <v>387</v>
      </c>
      <c r="C38" s="150">
        <v>3.65</v>
      </c>
      <c r="D38" s="151" t="s">
        <v>224</v>
      </c>
      <c r="E38" s="289">
        <f t="shared" si="0"/>
        <v>34675</v>
      </c>
      <c r="F38" s="296" t="s">
        <v>555</v>
      </c>
      <c r="G38" s="153" t="s">
        <v>429</v>
      </c>
      <c r="H38" s="153" t="s">
        <v>542</v>
      </c>
    </row>
    <row r="39" spans="1:8" s="127" customFormat="1" ht="55.2" x14ac:dyDescent="0.3">
      <c r="A39" s="298">
        <f>+MAX($A$15:A38)+1</f>
        <v>20</v>
      </c>
      <c r="B39" s="309" t="s">
        <v>388</v>
      </c>
      <c r="C39" s="150">
        <v>0.38</v>
      </c>
      <c r="D39" s="151" t="s">
        <v>224</v>
      </c>
      <c r="E39" s="289">
        <f t="shared" si="0"/>
        <v>3610</v>
      </c>
      <c r="F39" s="296" t="s">
        <v>555</v>
      </c>
      <c r="G39" s="153" t="s">
        <v>429</v>
      </c>
      <c r="H39" s="153" t="s">
        <v>542</v>
      </c>
    </row>
    <row r="40" spans="1:8" s="127" customFormat="1" ht="69" x14ac:dyDescent="0.3">
      <c r="A40" s="298">
        <f>+MAX($A$15:A39)+1</f>
        <v>21</v>
      </c>
      <c r="B40" s="309" t="s">
        <v>389</v>
      </c>
      <c r="C40" s="150">
        <v>6.77</v>
      </c>
      <c r="D40" s="151" t="s">
        <v>224</v>
      </c>
      <c r="E40" s="289">
        <f t="shared" si="0"/>
        <v>64314.999999999993</v>
      </c>
      <c r="F40" s="296" t="s">
        <v>555</v>
      </c>
      <c r="G40" s="153" t="s">
        <v>427</v>
      </c>
      <c r="H40" s="153" t="s">
        <v>542</v>
      </c>
    </row>
    <row r="41" spans="1:8" s="127" customFormat="1" ht="33" customHeight="1" x14ac:dyDescent="0.3">
      <c r="A41" s="305" t="s">
        <v>254</v>
      </c>
      <c r="B41" s="310" t="s">
        <v>430</v>
      </c>
      <c r="C41" s="307"/>
      <c r="D41" s="308"/>
      <c r="E41" s="281"/>
      <c r="F41" s="282"/>
      <c r="G41" s="282"/>
      <c r="H41" s="282"/>
    </row>
    <row r="42" spans="1:8" s="127" customFormat="1" ht="52.5" customHeight="1" x14ac:dyDescent="0.3">
      <c r="A42" s="298">
        <f>+MAX($A$15:A41)+1</f>
        <v>22</v>
      </c>
      <c r="B42" s="309" t="s">
        <v>423</v>
      </c>
      <c r="C42" s="150">
        <f>9.98-5.83</f>
        <v>4.1500000000000004</v>
      </c>
      <c r="D42" s="151" t="s">
        <v>224</v>
      </c>
      <c r="E42" s="289">
        <f t="shared" si="0"/>
        <v>39425</v>
      </c>
      <c r="F42" s="296" t="s">
        <v>555</v>
      </c>
      <c r="G42" s="153" t="s">
        <v>391</v>
      </c>
      <c r="H42" s="153"/>
    </row>
    <row r="43" spans="1:8" s="127" customFormat="1" ht="33" customHeight="1" x14ac:dyDescent="0.3">
      <c r="A43" s="305" t="s">
        <v>307</v>
      </c>
      <c r="B43" s="310" t="s">
        <v>431</v>
      </c>
      <c r="C43" s="307"/>
      <c r="D43" s="308"/>
      <c r="E43" s="281"/>
      <c r="F43" s="282"/>
      <c r="G43" s="282"/>
      <c r="H43" s="282"/>
    </row>
    <row r="44" spans="1:8" s="127" customFormat="1" ht="52.5" customHeight="1" x14ac:dyDescent="0.3">
      <c r="A44" s="298">
        <f>+MAX($A$15:A43)+1</f>
        <v>23</v>
      </c>
      <c r="B44" s="311" t="s">
        <v>432</v>
      </c>
      <c r="C44" s="150">
        <f>6-2.45-1.7</f>
        <v>1.8499999999999999</v>
      </c>
      <c r="D44" s="151" t="s">
        <v>224</v>
      </c>
      <c r="E44" s="289">
        <f t="shared" si="0"/>
        <v>17575</v>
      </c>
      <c r="F44" s="296" t="s">
        <v>555</v>
      </c>
      <c r="G44" s="153" t="s">
        <v>433</v>
      </c>
      <c r="H44" s="153"/>
    </row>
    <row r="45" spans="1:8" s="127" customFormat="1" ht="72" customHeight="1" x14ac:dyDescent="0.3">
      <c r="A45" s="305" t="s">
        <v>345</v>
      </c>
      <c r="B45" s="306" t="s">
        <v>437</v>
      </c>
      <c r="C45" s="307"/>
      <c r="D45" s="308"/>
      <c r="E45" s="281"/>
      <c r="F45" s="282"/>
      <c r="G45" s="282"/>
      <c r="H45" s="282"/>
    </row>
    <row r="46" spans="1:8" s="127" customFormat="1" ht="66.75" customHeight="1" x14ac:dyDescent="0.3">
      <c r="A46" s="298">
        <f>+MAX($A$15:A45)+1</f>
        <v>24</v>
      </c>
      <c r="B46" s="309" t="s">
        <v>438</v>
      </c>
      <c r="C46" s="150">
        <v>9.98</v>
      </c>
      <c r="D46" s="151" t="s">
        <v>224</v>
      </c>
      <c r="E46" s="289">
        <f t="shared" si="0"/>
        <v>94810</v>
      </c>
      <c r="F46" s="296" t="s">
        <v>555</v>
      </c>
      <c r="G46" s="153" t="s">
        <v>391</v>
      </c>
      <c r="H46" s="153"/>
    </row>
    <row r="47" spans="1:8" s="127" customFormat="1" ht="36.75" customHeight="1" x14ac:dyDescent="0.3">
      <c r="A47" s="298">
        <f>+MAX($A$15:A46)+1</f>
        <v>25</v>
      </c>
      <c r="B47" s="309" t="s">
        <v>439</v>
      </c>
      <c r="C47" s="150">
        <v>1</v>
      </c>
      <c r="D47" s="151" t="s">
        <v>224</v>
      </c>
      <c r="E47" s="289">
        <f t="shared" si="0"/>
        <v>9500</v>
      </c>
      <c r="F47" s="296" t="s">
        <v>555</v>
      </c>
      <c r="G47" s="153" t="s">
        <v>383</v>
      </c>
      <c r="H47" s="153"/>
    </row>
    <row r="48" spans="1:8" s="127" customFormat="1" ht="36.75" customHeight="1" x14ac:dyDescent="0.3">
      <c r="A48" s="298">
        <f>+MAX($A$15:A47)+1</f>
        <v>26</v>
      </c>
      <c r="B48" s="309" t="s">
        <v>440</v>
      </c>
      <c r="C48" s="150">
        <v>1</v>
      </c>
      <c r="D48" s="151" t="s">
        <v>224</v>
      </c>
      <c r="E48" s="289">
        <f t="shared" si="0"/>
        <v>9500</v>
      </c>
      <c r="F48" s="296" t="s">
        <v>555</v>
      </c>
      <c r="G48" s="153" t="s">
        <v>429</v>
      </c>
      <c r="H48" s="153"/>
    </row>
    <row r="49" spans="1:8" s="127" customFormat="1" ht="36.75" customHeight="1" x14ac:dyDescent="0.3">
      <c r="A49" s="298">
        <f>+MAX($A$15:A48)+1</f>
        <v>27</v>
      </c>
      <c r="B49" s="309" t="s">
        <v>444</v>
      </c>
      <c r="C49" s="150">
        <v>1</v>
      </c>
      <c r="D49" s="151" t="s">
        <v>224</v>
      </c>
      <c r="E49" s="289">
        <f t="shared" si="0"/>
        <v>9500</v>
      </c>
      <c r="F49" s="296" t="s">
        <v>555</v>
      </c>
      <c r="G49" s="153" t="s">
        <v>379</v>
      </c>
      <c r="H49" s="153"/>
    </row>
    <row r="50" spans="1:8" s="127" customFormat="1" ht="54" customHeight="1" x14ac:dyDescent="0.3">
      <c r="A50" s="305" t="s">
        <v>347</v>
      </c>
      <c r="B50" s="306" t="s">
        <v>424</v>
      </c>
      <c r="C50" s="150"/>
      <c r="D50" s="151"/>
      <c r="E50" s="152"/>
      <c r="F50" s="153"/>
      <c r="G50" s="153"/>
      <c r="H50" s="153"/>
    </row>
    <row r="51" spans="1:8" s="127" customFormat="1" ht="36" customHeight="1" x14ac:dyDescent="0.3">
      <c r="A51" s="298">
        <f>+MAX($A$15:A50)+1</f>
        <v>28</v>
      </c>
      <c r="B51" s="309" t="s">
        <v>434</v>
      </c>
      <c r="C51" s="150">
        <v>2</v>
      </c>
      <c r="D51" s="151" t="s">
        <v>224</v>
      </c>
      <c r="E51" s="289">
        <f t="shared" si="0"/>
        <v>19000</v>
      </c>
      <c r="F51" s="296" t="s">
        <v>555</v>
      </c>
      <c r="G51" s="153" t="s">
        <v>391</v>
      </c>
      <c r="H51" s="153"/>
    </row>
    <row r="52" spans="1:8" s="127" customFormat="1" ht="36" customHeight="1" x14ac:dyDescent="0.3">
      <c r="A52" s="298">
        <f>+MAX($A$15:A51)+1</f>
        <v>29</v>
      </c>
      <c r="B52" s="309" t="s">
        <v>435</v>
      </c>
      <c r="C52" s="150">
        <v>1.5</v>
      </c>
      <c r="D52" s="151" t="s">
        <v>224</v>
      </c>
      <c r="E52" s="289">
        <f t="shared" si="0"/>
        <v>14250</v>
      </c>
      <c r="F52" s="296" t="s">
        <v>555</v>
      </c>
      <c r="G52" s="153" t="s">
        <v>374</v>
      </c>
      <c r="H52" s="153"/>
    </row>
    <row r="53" spans="1:8" s="127" customFormat="1" ht="36" customHeight="1" x14ac:dyDescent="0.3">
      <c r="A53" s="298">
        <f>+MAX($A$15:A52)+1</f>
        <v>30</v>
      </c>
      <c r="B53" s="309" t="s">
        <v>436</v>
      </c>
      <c r="C53" s="150">
        <v>1.5</v>
      </c>
      <c r="D53" s="151" t="s">
        <v>224</v>
      </c>
      <c r="E53" s="289">
        <f t="shared" si="0"/>
        <v>14250</v>
      </c>
      <c r="F53" s="296" t="s">
        <v>555</v>
      </c>
      <c r="G53" s="153" t="s">
        <v>375</v>
      </c>
      <c r="H53" s="153"/>
    </row>
    <row r="54" spans="1:8" s="127" customFormat="1" ht="31.2" x14ac:dyDescent="0.3">
      <c r="A54" s="305" t="s">
        <v>348</v>
      </c>
      <c r="B54" s="306" t="s">
        <v>421</v>
      </c>
      <c r="C54" s="307"/>
      <c r="D54" s="308"/>
      <c r="E54" s="281"/>
      <c r="F54" s="282"/>
      <c r="G54" s="282"/>
      <c r="H54" s="282"/>
    </row>
    <row r="55" spans="1:8" s="127" customFormat="1" ht="33.75" customHeight="1" x14ac:dyDescent="0.3">
      <c r="A55" s="298">
        <f>+MAX($A$15:A54)+1</f>
        <v>31</v>
      </c>
      <c r="B55" s="309" t="s">
        <v>441</v>
      </c>
      <c r="C55" s="150">
        <v>3.5</v>
      </c>
      <c r="D55" s="151" t="s">
        <v>224</v>
      </c>
      <c r="E55" s="289">
        <f t="shared" si="0"/>
        <v>33250</v>
      </c>
      <c r="F55" s="296" t="s">
        <v>555</v>
      </c>
      <c r="G55" s="153" t="s">
        <v>351</v>
      </c>
      <c r="H55" s="153"/>
    </row>
    <row r="56" spans="1:8" s="127" customFormat="1" ht="31.2" x14ac:dyDescent="0.3">
      <c r="A56" s="305" t="s">
        <v>349</v>
      </c>
      <c r="B56" s="306" t="s">
        <v>422</v>
      </c>
      <c r="C56" s="307"/>
      <c r="D56" s="308"/>
      <c r="E56" s="281"/>
      <c r="F56" s="282"/>
      <c r="G56" s="282"/>
      <c r="H56" s="282"/>
    </row>
    <row r="57" spans="1:8" s="127" customFormat="1" ht="34.5" customHeight="1" x14ac:dyDescent="0.3">
      <c r="A57" s="298">
        <f>+MAX($A$15:A56)+1</f>
        <v>32</v>
      </c>
      <c r="B57" s="309" t="s">
        <v>442</v>
      </c>
      <c r="C57" s="150">
        <v>3.5</v>
      </c>
      <c r="D57" s="151" t="s">
        <v>224</v>
      </c>
      <c r="E57" s="289">
        <f t="shared" si="0"/>
        <v>33250</v>
      </c>
      <c r="F57" s="296" t="s">
        <v>555</v>
      </c>
      <c r="G57" s="153" t="s">
        <v>443</v>
      </c>
      <c r="H57" s="153"/>
    </row>
    <row r="58" spans="1:8" s="127" customFormat="1" ht="19.5" customHeight="1" x14ac:dyDescent="0.3">
      <c r="A58" s="305" t="s">
        <v>350</v>
      </c>
      <c r="B58" s="310" t="s">
        <v>532</v>
      </c>
      <c r="C58" s="150"/>
      <c r="D58" s="151"/>
      <c r="E58" s="152"/>
      <c r="F58" s="153"/>
      <c r="G58" s="153"/>
      <c r="H58" s="153"/>
    </row>
    <row r="59" spans="1:8" s="127" customFormat="1" ht="34.5" customHeight="1" x14ac:dyDescent="0.3">
      <c r="A59" s="298">
        <f>+MAX($A$15:A58)+1</f>
        <v>33</v>
      </c>
      <c r="B59" s="309" t="s">
        <v>521</v>
      </c>
      <c r="C59" s="150">
        <v>9.98</v>
      </c>
      <c r="D59" s="151" t="s">
        <v>224</v>
      </c>
      <c r="E59" s="289">
        <f>+C59*9500</f>
        <v>94810</v>
      </c>
      <c r="F59" s="296" t="s">
        <v>555</v>
      </c>
      <c r="G59" s="153" t="s">
        <v>433</v>
      </c>
      <c r="H59" s="153"/>
    </row>
    <row r="60" spans="1:8" s="179" customFormat="1" ht="24.75" customHeight="1" x14ac:dyDescent="0.3">
      <c r="A60" s="149"/>
      <c r="B60" s="149" t="s">
        <v>312</v>
      </c>
      <c r="C60" s="307"/>
      <c r="D60" s="308"/>
      <c r="E60" s="281"/>
      <c r="F60" s="282"/>
      <c r="G60" s="282"/>
      <c r="H60" s="282"/>
    </row>
    <row r="61" spans="1:8" s="165" customFormat="1" x14ac:dyDescent="0.3">
      <c r="A61" s="166"/>
      <c r="C61" s="166"/>
      <c r="E61" s="167"/>
      <c r="F61" s="166"/>
      <c r="G61" s="166"/>
      <c r="H61" s="166"/>
    </row>
    <row r="62" spans="1:8" s="169" customFormat="1" x14ac:dyDescent="0.3">
      <c r="A62" s="168"/>
      <c r="B62" s="168" t="s">
        <v>316</v>
      </c>
      <c r="C62" s="168"/>
      <c r="E62" s="170"/>
      <c r="F62" s="168"/>
      <c r="G62" s="168" t="s">
        <v>365</v>
      </c>
      <c r="H62" s="168"/>
    </row>
    <row r="63" spans="1:8" s="169" customFormat="1" x14ac:dyDescent="0.3">
      <c r="A63" s="168"/>
      <c r="B63" s="168"/>
      <c r="C63" s="168"/>
      <c r="E63" s="170"/>
      <c r="F63" s="168"/>
      <c r="G63" s="168"/>
      <c r="H63" s="168"/>
    </row>
    <row r="64" spans="1:8" s="169" customFormat="1" x14ac:dyDescent="0.3">
      <c r="A64" s="168"/>
      <c r="B64" s="168"/>
      <c r="C64" s="168"/>
      <c r="E64" s="170"/>
      <c r="F64" s="168"/>
      <c r="G64" s="168"/>
      <c r="H64" s="168"/>
    </row>
    <row r="65" spans="1:8" s="169" customFormat="1" x14ac:dyDescent="0.3">
      <c r="A65" s="168"/>
      <c r="B65" s="168"/>
      <c r="C65" s="168"/>
      <c r="E65" s="170"/>
      <c r="F65" s="168"/>
      <c r="G65" s="168"/>
      <c r="H65" s="168"/>
    </row>
    <row r="66" spans="1:8" s="169" customFormat="1" x14ac:dyDescent="0.3">
      <c r="A66" s="168"/>
      <c r="B66" s="168"/>
      <c r="C66" s="168"/>
      <c r="E66" s="170"/>
      <c r="F66" s="168"/>
      <c r="G66" s="168"/>
      <c r="H66" s="168"/>
    </row>
    <row r="67" spans="1:8" s="169" customFormat="1" x14ac:dyDescent="0.3">
      <c r="A67" s="168"/>
      <c r="B67" s="168"/>
      <c r="C67" s="168"/>
      <c r="E67" s="170"/>
      <c r="F67" s="168"/>
      <c r="G67" s="168"/>
      <c r="H67" s="168"/>
    </row>
    <row r="68" spans="1:8" s="169" customFormat="1" x14ac:dyDescent="0.3">
      <c r="A68" s="168"/>
      <c r="B68" s="168" t="s">
        <v>354</v>
      </c>
      <c r="C68" s="168"/>
      <c r="E68" s="170"/>
      <c r="F68" s="168"/>
      <c r="G68" s="168" t="s">
        <v>355</v>
      </c>
      <c r="H68" s="168"/>
    </row>
    <row r="69" spans="1:8" s="165" customFormat="1" x14ac:dyDescent="0.3">
      <c r="A69" s="166"/>
      <c r="C69" s="166"/>
      <c r="E69" s="167"/>
      <c r="F69" s="166"/>
      <c r="G69" s="166"/>
      <c r="H69" s="166"/>
    </row>
    <row r="70" spans="1:8" s="165" customFormat="1" x14ac:dyDescent="0.3">
      <c r="A70" s="166"/>
      <c r="C70" s="166"/>
      <c r="E70" s="167"/>
      <c r="F70" s="166"/>
      <c r="G70" s="166"/>
      <c r="H70" s="166"/>
    </row>
    <row r="71" spans="1:8" s="165" customFormat="1" x14ac:dyDescent="0.3">
      <c r="A71" s="166"/>
      <c r="C71" s="166"/>
      <c r="E71" s="167"/>
      <c r="F71" s="166"/>
      <c r="G71" s="166"/>
      <c r="H71" s="166"/>
    </row>
    <row r="72" spans="1:8" s="165" customFormat="1" x14ac:dyDescent="0.3">
      <c r="A72" s="166"/>
      <c r="C72" s="166"/>
      <c r="E72" s="167"/>
      <c r="F72" s="166"/>
      <c r="G72" s="166"/>
      <c r="H72" s="166"/>
    </row>
    <row r="73" spans="1:8" s="165" customFormat="1" x14ac:dyDescent="0.3">
      <c r="A73" s="166"/>
      <c r="C73" s="166"/>
      <c r="E73" s="167"/>
      <c r="F73" s="166"/>
      <c r="G73" s="166"/>
      <c r="H73" s="166"/>
    </row>
    <row r="74" spans="1:8" s="165" customFormat="1" x14ac:dyDescent="0.3">
      <c r="A74" s="166"/>
      <c r="C74" s="166"/>
      <c r="E74" s="167"/>
      <c r="F74" s="166"/>
      <c r="G74" s="166"/>
      <c r="H74" s="166"/>
    </row>
    <row r="75" spans="1:8" s="165" customFormat="1" x14ac:dyDescent="0.3">
      <c r="A75" s="166"/>
      <c r="C75" s="166"/>
      <c r="E75" s="167"/>
      <c r="F75" s="166"/>
      <c r="G75" s="166"/>
      <c r="H75" s="166"/>
    </row>
    <row r="76" spans="1:8" s="165" customFormat="1" x14ac:dyDescent="0.3">
      <c r="A76" s="166"/>
      <c r="C76" s="166"/>
      <c r="E76" s="167"/>
      <c r="F76" s="166"/>
      <c r="G76" s="166"/>
      <c r="H76" s="166"/>
    </row>
    <row r="77" spans="1:8" s="165" customFormat="1" x14ac:dyDescent="0.3">
      <c r="A77" s="166"/>
      <c r="C77" s="166"/>
      <c r="E77" s="167"/>
      <c r="F77" s="166"/>
      <c r="G77" s="166"/>
      <c r="H77" s="166"/>
    </row>
    <row r="78" spans="1:8" s="165" customFormat="1" x14ac:dyDescent="0.3">
      <c r="A78" s="166"/>
      <c r="C78" s="166"/>
      <c r="E78" s="167"/>
      <c r="F78" s="166"/>
      <c r="G78" s="166"/>
      <c r="H78" s="166"/>
    </row>
    <row r="79" spans="1:8" s="165" customFormat="1" x14ac:dyDescent="0.3">
      <c r="A79" s="166"/>
      <c r="C79" s="166"/>
      <c r="E79" s="167"/>
      <c r="F79" s="166"/>
      <c r="G79" s="166"/>
      <c r="H79" s="166"/>
    </row>
    <row r="80" spans="1:8" s="165" customFormat="1" x14ac:dyDescent="0.3">
      <c r="A80" s="166"/>
      <c r="C80" s="166"/>
      <c r="E80" s="167"/>
      <c r="F80" s="166"/>
      <c r="G80" s="166"/>
      <c r="H80" s="166"/>
    </row>
    <row r="81" spans="1:8" s="165" customFormat="1" x14ac:dyDescent="0.3">
      <c r="A81" s="166"/>
      <c r="C81" s="166"/>
      <c r="E81" s="167"/>
      <c r="F81" s="166"/>
      <c r="G81" s="166"/>
      <c r="H81" s="166"/>
    </row>
    <row r="82" spans="1:8" s="165" customFormat="1" x14ac:dyDescent="0.3">
      <c r="A82" s="166"/>
      <c r="C82" s="166"/>
      <c r="E82" s="167"/>
      <c r="F82" s="166"/>
      <c r="G82" s="166"/>
      <c r="H82" s="166"/>
    </row>
    <row r="83" spans="1:8" s="165" customFormat="1" x14ac:dyDescent="0.3">
      <c r="A83" s="166"/>
      <c r="C83" s="166"/>
      <c r="E83" s="167"/>
      <c r="F83" s="166"/>
      <c r="G83" s="166"/>
      <c r="H83" s="166"/>
    </row>
    <row r="84" spans="1:8" s="165" customFormat="1" x14ac:dyDescent="0.3">
      <c r="A84" s="166"/>
      <c r="C84" s="166"/>
      <c r="E84" s="167"/>
      <c r="F84" s="166"/>
      <c r="G84" s="166"/>
      <c r="H84" s="166"/>
    </row>
    <row r="85" spans="1:8" s="165" customFormat="1" x14ac:dyDescent="0.3">
      <c r="A85" s="166"/>
      <c r="C85" s="166"/>
      <c r="E85" s="167"/>
      <c r="F85" s="166"/>
      <c r="G85" s="166"/>
      <c r="H85" s="166"/>
    </row>
  </sheetData>
  <mergeCells count="7">
    <mergeCell ref="D19:F19"/>
    <mergeCell ref="C1:H1"/>
    <mergeCell ref="C2:H2"/>
    <mergeCell ref="A5:H5"/>
    <mergeCell ref="E6:H6"/>
    <mergeCell ref="A4:H4"/>
    <mergeCell ref="A3:H3"/>
  </mergeCells>
  <pageMargins left="0.39370078740157483" right="0.15748031496062992" top="0.55118110236220474" bottom="0.19685039370078741" header="0.31496062992125984" footer="0.19685039370078741"/>
  <pageSetup paperSize="9" scale="90" orientation="landscape" r:id="rId1"/>
  <headerFooter>
    <oddFooter>&amp;RTrang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36"/>
  <sheetViews>
    <sheetView topLeftCell="A22" zoomScaleSheetLayoutView="55" workbookViewId="0">
      <selection activeCell="E17" sqref="E17"/>
    </sheetView>
  </sheetViews>
  <sheetFormatPr defaultColWidth="9.109375" defaultRowHeight="15.6" x14ac:dyDescent="0.3"/>
  <cols>
    <col min="1" max="1" width="5.109375" style="101" customWidth="1"/>
    <col min="2" max="2" width="33.44140625" style="102" customWidth="1"/>
    <col min="3" max="3" width="37.109375" style="101" customWidth="1"/>
    <col min="4" max="4" width="14.6640625" style="102" customWidth="1"/>
    <col min="5" max="6" width="14.33203125" style="103" customWidth="1"/>
    <col min="7" max="7" width="16.88671875" style="103" customWidth="1"/>
    <col min="8" max="8" width="17.44140625" style="101" customWidth="1"/>
    <col min="9" max="9" width="18.44140625" style="101" hidden="1" customWidth="1"/>
    <col min="10" max="10" width="13.88671875" style="101" hidden="1" customWidth="1"/>
    <col min="11" max="16384" width="9.109375" style="102"/>
  </cols>
  <sheetData>
    <row r="1" spans="1:10" ht="18.75" customHeight="1" x14ac:dyDescent="0.3">
      <c r="A1" s="166"/>
      <c r="B1" s="166" t="s">
        <v>277</v>
      </c>
      <c r="C1" s="432" t="s">
        <v>278</v>
      </c>
      <c r="D1" s="432"/>
      <c r="E1" s="432"/>
      <c r="F1" s="432"/>
      <c r="G1" s="432"/>
      <c r="H1" s="432"/>
      <c r="I1" s="432"/>
      <c r="J1" s="432"/>
    </row>
    <row r="2" spans="1:10" x14ac:dyDescent="0.3">
      <c r="A2" s="166"/>
      <c r="B2" s="171" t="s">
        <v>320</v>
      </c>
      <c r="C2" s="433" t="s">
        <v>279</v>
      </c>
      <c r="D2" s="433"/>
      <c r="E2" s="433"/>
      <c r="F2" s="433"/>
      <c r="G2" s="433"/>
      <c r="H2" s="433"/>
      <c r="I2" s="433"/>
      <c r="J2" s="433"/>
    </row>
    <row r="3" spans="1:10" ht="14.25" customHeight="1" x14ac:dyDescent="0.3">
      <c r="A3" s="166"/>
      <c r="B3" s="165"/>
    </row>
    <row r="4" spans="1:10" ht="20.25" customHeight="1" x14ac:dyDescent="0.3">
      <c r="A4" s="432" t="s">
        <v>543</v>
      </c>
      <c r="B4" s="432"/>
      <c r="C4" s="432"/>
      <c r="D4" s="432"/>
      <c r="E4" s="432"/>
      <c r="F4" s="432"/>
      <c r="G4" s="432"/>
      <c r="H4" s="432"/>
      <c r="I4" s="432"/>
      <c r="J4" s="432"/>
    </row>
    <row r="5" spans="1:10" ht="16.8" hidden="1" x14ac:dyDescent="0.3">
      <c r="A5" s="435" t="s">
        <v>215</v>
      </c>
      <c r="B5" s="435"/>
      <c r="C5" s="435"/>
      <c r="D5" s="435"/>
      <c r="E5" s="435"/>
      <c r="F5" s="435"/>
      <c r="G5" s="435"/>
      <c r="H5" s="435"/>
      <c r="I5" s="435"/>
      <c r="J5" s="435"/>
    </row>
    <row r="6" spans="1:10" x14ac:dyDescent="0.3">
      <c r="E6" s="428"/>
      <c r="F6" s="428"/>
      <c r="G6" s="428"/>
      <c r="H6" s="428"/>
      <c r="I6" s="428"/>
      <c r="J6" s="428"/>
    </row>
    <row r="7" spans="1:10" s="29" customFormat="1" ht="60" customHeight="1" x14ac:dyDescent="0.3">
      <c r="A7" s="104" t="s">
        <v>0</v>
      </c>
      <c r="B7" s="104" t="s">
        <v>20</v>
      </c>
      <c r="C7" s="104" t="s">
        <v>544</v>
      </c>
      <c r="D7" s="104" t="s">
        <v>217</v>
      </c>
      <c r="E7" s="104" t="s">
        <v>546</v>
      </c>
      <c r="F7" s="104" t="s">
        <v>547</v>
      </c>
      <c r="G7" s="104" t="s">
        <v>545</v>
      </c>
      <c r="H7" s="104" t="s">
        <v>219</v>
      </c>
      <c r="I7" s="104" t="s">
        <v>220</v>
      </c>
      <c r="J7" s="104" t="s">
        <v>221</v>
      </c>
    </row>
    <row r="8" spans="1:10" s="108" customFormat="1" x14ac:dyDescent="0.3">
      <c r="A8" s="107">
        <v>1</v>
      </c>
      <c r="B8" s="107">
        <f>+A8+1</f>
        <v>2</v>
      </c>
      <c r="C8" s="107">
        <f t="shared" ref="C8:H8" si="0">+B8+1</f>
        <v>3</v>
      </c>
      <c r="D8" s="107">
        <f t="shared" si="0"/>
        <v>4</v>
      </c>
      <c r="E8" s="107">
        <f t="shared" si="0"/>
        <v>5</v>
      </c>
      <c r="F8" s="107">
        <f t="shared" si="0"/>
        <v>6</v>
      </c>
      <c r="G8" s="107">
        <f t="shared" si="0"/>
        <v>7</v>
      </c>
      <c r="H8" s="107">
        <f t="shared" si="0"/>
        <v>8</v>
      </c>
      <c r="I8" s="107">
        <v>5</v>
      </c>
      <c r="J8" s="107"/>
    </row>
    <row r="9" spans="1:10" s="108" customFormat="1" ht="20.25" hidden="1" customHeight="1" x14ac:dyDescent="0.3">
      <c r="A9" s="136"/>
      <c r="B9" s="136"/>
      <c r="C9" s="136"/>
      <c r="D9" s="136"/>
      <c r="E9" s="136"/>
      <c r="F9" s="136"/>
      <c r="G9" s="136"/>
      <c r="H9" s="136"/>
      <c r="I9" s="136"/>
      <c r="J9" s="136"/>
    </row>
    <row r="10" spans="1:10" s="29" customFormat="1" hidden="1" x14ac:dyDescent="0.3">
      <c r="A10" s="109" t="s">
        <v>222</v>
      </c>
      <c r="B10" s="109" t="s">
        <v>318</v>
      </c>
      <c r="C10" s="109"/>
      <c r="D10" s="110"/>
      <c r="E10" s="111"/>
      <c r="F10" s="111"/>
      <c r="G10" s="111"/>
      <c r="H10" s="112"/>
      <c r="I10" s="112"/>
      <c r="J10" s="112"/>
    </row>
    <row r="11" spans="1:10" s="29" customFormat="1" ht="78" hidden="1" x14ac:dyDescent="0.3">
      <c r="A11" s="92">
        <v>1</v>
      </c>
      <c r="B11" s="98" t="s">
        <v>259</v>
      </c>
      <c r="C11" s="92" t="s">
        <v>262</v>
      </c>
      <c r="D11" s="94" t="s">
        <v>263</v>
      </c>
      <c r="E11" s="95"/>
      <c r="F11" s="95"/>
      <c r="G11" s="95"/>
      <c r="H11" s="114"/>
      <c r="I11" s="94" t="s">
        <v>264</v>
      </c>
      <c r="J11" s="94"/>
    </row>
    <row r="12" spans="1:10" s="29" customFormat="1" ht="31.2" hidden="1" x14ac:dyDescent="0.3">
      <c r="A12" s="92">
        <v>2</v>
      </c>
      <c r="B12" s="98" t="s">
        <v>260</v>
      </c>
      <c r="C12" s="92" t="s">
        <v>262</v>
      </c>
      <c r="D12" s="94" t="s">
        <v>263</v>
      </c>
      <c r="E12" s="95"/>
      <c r="F12" s="95"/>
      <c r="G12" s="95"/>
      <c r="H12" s="114"/>
      <c r="I12" s="94" t="s">
        <v>265</v>
      </c>
      <c r="J12" s="94"/>
    </row>
    <row r="13" spans="1:10" s="29" customFormat="1" ht="31.2" hidden="1" x14ac:dyDescent="0.3">
      <c r="A13" s="158">
        <v>3</v>
      </c>
      <c r="B13" s="180" t="s">
        <v>308</v>
      </c>
      <c r="C13" s="158" t="s">
        <v>262</v>
      </c>
      <c r="D13" s="159" t="s">
        <v>263</v>
      </c>
      <c r="E13" s="148"/>
      <c r="F13" s="148"/>
      <c r="G13" s="148"/>
      <c r="H13" s="181"/>
      <c r="I13" s="159" t="s">
        <v>309</v>
      </c>
      <c r="J13" s="159"/>
    </row>
    <row r="14" spans="1:10" s="67" customFormat="1" ht="18.75" hidden="1" customHeight="1" x14ac:dyDescent="0.3">
      <c r="A14" s="208" t="s">
        <v>401</v>
      </c>
      <c r="B14" s="208" t="s">
        <v>400</v>
      </c>
      <c r="C14" s="209"/>
      <c r="D14" s="210"/>
      <c r="E14" s="211"/>
      <c r="F14" s="211"/>
      <c r="G14" s="211"/>
      <c r="H14" s="212"/>
      <c r="I14" s="210"/>
      <c r="J14" s="210"/>
    </row>
    <row r="15" spans="1:10" s="29" customFormat="1" ht="19.5" hidden="1" customHeight="1" x14ac:dyDescent="0.3">
      <c r="A15" s="109" t="s">
        <v>222</v>
      </c>
      <c r="B15" s="116" t="s">
        <v>223</v>
      </c>
      <c r="C15" s="94"/>
      <c r="D15" s="94"/>
      <c r="E15" s="95"/>
      <c r="F15" s="95"/>
      <c r="G15" s="95"/>
      <c r="H15" s="96"/>
      <c r="I15" s="96"/>
      <c r="J15" s="96"/>
    </row>
    <row r="16" spans="1:10" s="29" customFormat="1" ht="133.5" customHeight="1" x14ac:dyDescent="0.3">
      <c r="A16" s="92">
        <v>1</v>
      </c>
      <c r="B16" s="93" t="s">
        <v>6</v>
      </c>
      <c r="C16" s="313" t="s">
        <v>553</v>
      </c>
      <c r="D16" s="94" t="s">
        <v>224</v>
      </c>
      <c r="E16" s="95">
        <v>9516</v>
      </c>
      <c r="F16" s="95">
        <v>3200</v>
      </c>
      <c r="G16" s="95">
        <f>E16+F16</f>
        <v>12716</v>
      </c>
      <c r="H16" s="96" t="s">
        <v>529</v>
      </c>
      <c r="I16" s="96"/>
      <c r="J16" s="96" t="s">
        <v>165</v>
      </c>
    </row>
    <row r="17" spans="1:10" s="29" customFormat="1" ht="117.75" customHeight="1" x14ac:dyDescent="0.3">
      <c r="A17" s="85">
        <f>+MAX($A$15:A16)+1</f>
        <v>2</v>
      </c>
      <c r="B17" s="93" t="s">
        <v>25</v>
      </c>
      <c r="C17" s="313" t="s">
        <v>554</v>
      </c>
      <c r="D17" s="94" t="s">
        <v>224</v>
      </c>
      <c r="E17" s="95">
        <v>12957</v>
      </c>
      <c r="F17" s="314" t="s">
        <v>572</v>
      </c>
      <c r="G17" s="314"/>
      <c r="H17" s="96" t="s">
        <v>529</v>
      </c>
      <c r="I17" s="96"/>
      <c r="J17" s="96" t="s">
        <v>551</v>
      </c>
    </row>
    <row r="18" spans="1:10" s="29" customFormat="1" ht="72" customHeight="1" x14ac:dyDescent="0.3">
      <c r="A18" s="85">
        <f>+MAX($A$15:A17)+1</f>
        <v>3</v>
      </c>
      <c r="B18" s="93" t="s">
        <v>563</v>
      </c>
      <c r="C18" s="162" t="s">
        <v>564</v>
      </c>
      <c r="D18" s="94" t="s">
        <v>224</v>
      </c>
      <c r="E18" s="95">
        <v>38883</v>
      </c>
      <c r="F18" s="95">
        <v>1955</v>
      </c>
      <c r="G18" s="95">
        <f>+E18+F18</f>
        <v>40838</v>
      </c>
      <c r="H18" s="96" t="s">
        <v>529</v>
      </c>
      <c r="I18" s="96"/>
      <c r="J18" s="96" t="s">
        <v>552</v>
      </c>
    </row>
    <row r="19" spans="1:10" s="29" customFormat="1" ht="57" customHeight="1" x14ac:dyDescent="0.3">
      <c r="A19" s="85">
        <f>+MAX($A$15:A18)+1</f>
        <v>4</v>
      </c>
      <c r="B19" s="93" t="s">
        <v>565</v>
      </c>
      <c r="C19" s="162" t="s">
        <v>549</v>
      </c>
      <c r="D19" s="94" t="s">
        <v>224</v>
      </c>
      <c r="E19" s="88">
        <v>89813</v>
      </c>
      <c r="F19" s="88">
        <v>25000</v>
      </c>
      <c r="G19" s="88">
        <f>+E19+F19</f>
        <v>114813</v>
      </c>
      <c r="H19" s="96" t="s">
        <v>529</v>
      </c>
      <c r="I19" s="96"/>
      <c r="J19" s="96" t="s">
        <v>167</v>
      </c>
    </row>
    <row r="20" spans="1:10" s="29" customFormat="1" ht="48.75" customHeight="1" x14ac:dyDescent="0.3">
      <c r="A20" s="85">
        <f>+MAX($A$15:A19)+1</f>
        <v>5</v>
      </c>
      <c r="B20" s="93" t="s">
        <v>566</v>
      </c>
      <c r="C20" s="162" t="s">
        <v>548</v>
      </c>
      <c r="D20" s="94" t="s">
        <v>224</v>
      </c>
      <c r="E20" s="95">
        <v>127350</v>
      </c>
      <c r="F20" s="95">
        <v>24387</v>
      </c>
      <c r="G20" s="95">
        <f>+E20+F20</f>
        <v>151737</v>
      </c>
      <c r="H20" s="96" t="s">
        <v>529</v>
      </c>
      <c r="I20" s="96"/>
      <c r="J20" s="96" t="s">
        <v>165</v>
      </c>
    </row>
    <row r="21" spans="1:10" s="29" customFormat="1" ht="167.25" customHeight="1" x14ac:dyDescent="0.3">
      <c r="A21" s="204">
        <f>+MAX($A$15:A20)+1</f>
        <v>6</v>
      </c>
      <c r="B21" s="315" t="s">
        <v>550</v>
      </c>
      <c r="C21" s="316" t="s">
        <v>571</v>
      </c>
      <c r="D21" s="232" t="s">
        <v>224</v>
      </c>
      <c r="E21" s="131">
        <v>119984</v>
      </c>
      <c r="F21" s="131">
        <v>10968</v>
      </c>
      <c r="G21" s="131">
        <v>19964</v>
      </c>
      <c r="H21" s="234" t="s">
        <v>529</v>
      </c>
      <c r="I21" s="279"/>
      <c r="J21" s="279" t="s">
        <v>551</v>
      </c>
    </row>
    <row r="22" spans="1:10" s="165" customFormat="1" x14ac:dyDescent="0.3">
      <c r="A22" s="166"/>
      <c r="C22" s="166"/>
      <c r="E22" s="167"/>
      <c r="F22" s="167"/>
      <c r="G22" s="167"/>
      <c r="H22" s="166"/>
      <c r="I22" s="166"/>
      <c r="J22" s="166"/>
    </row>
    <row r="23" spans="1:10" s="165" customFormat="1" x14ac:dyDescent="0.3">
      <c r="A23" s="166"/>
      <c r="C23" s="166"/>
      <c r="E23" s="167"/>
      <c r="F23" s="167"/>
      <c r="G23" s="167"/>
      <c r="H23" s="166"/>
      <c r="I23" s="166"/>
      <c r="J23" s="166"/>
    </row>
    <row r="24" spans="1:10" s="165" customFormat="1" x14ac:dyDescent="0.3">
      <c r="A24" s="166"/>
      <c r="C24" s="166"/>
      <c r="E24" s="167"/>
      <c r="F24" s="167"/>
      <c r="G24" s="167"/>
      <c r="H24" s="166"/>
      <c r="I24" s="166"/>
      <c r="J24" s="166"/>
    </row>
    <row r="25" spans="1:10" s="165" customFormat="1" x14ac:dyDescent="0.3">
      <c r="A25" s="166"/>
      <c r="C25" s="166"/>
      <c r="E25" s="167"/>
      <c r="F25" s="167"/>
      <c r="G25" s="167"/>
      <c r="H25" s="166"/>
      <c r="I25" s="166"/>
      <c r="J25" s="166"/>
    </row>
    <row r="26" spans="1:10" s="165" customFormat="1" x14ac:dyDescent="0.3">
      <c r="A26" s="166"/>
      <c r="C26" s="166"/>
      <c r="E26" s="167"/>
      <c r="F26" s="167"/>
      <c r="G26" s="167"/>
      <c r="H26" s="166"/>
      <c r="I26" s="166"/>
      <c r="J26" s="166"/>
    </row>
    <row r="27" spans="1:10" s="165" customFormat="1" x14ac:dyDescent="0.3">
      <c r="A27" s="166"/>
      <c r="C27" s="166"/>
      <c r="E27" s="167"/>
      <c r="F27" s="167"/>
      <c r="G27" s="167"/>
      <c r="H27" s="166"/>
      <c r="I27" s="166"/>
      <c r="J27" s="166"/>
    </row>
    <row r="28" spans="1:10" s="165" customFormat="1" x14ac:dyDescent="0.3">
      <c r="A28" s="166"/>
      <c r="C28" s="166"/>
      <c r="E28" s="167"/>
      <c r="F28" s="167"/>
      <c r="G28" s="167"/>
      <c r="H28" s="166"/>
      <c r="I28" s="166"/>
      <c r="J28" s="166"/>
    </row>
    <row r="29" spans="1:10" s="165" customFormat="1" x14ac:dyDescent="0.3">
      <c r="A29" s="166"/>
      <c r="C29" s="166"/>
      <c r="E29" s="167"/>
      <c r="F29" s="167"/>
      <c r="G29" s="167"/>
      <c r="H29" s="166"/>
      <c r="I29" s="166"/>
      <c r="J29" s="166"/>
    </row>
    <row r="30" spans="1:10" s="165" customFormat="1" x14ac:dyDescent="0.3">
      <c r="A30" s="166"/>
      <c r="C30" s="166"/>
      <c r="E30" s="167"/>
      <c r="F30" s="167"/>
      <c r="G30" s="167"/>
      <c r="H30" s="166"/>
      <c r="I30" s="166"/>
      <c r="J30" s="166"/>
    </row>
    <row r="31" spans="1:10" s="165" customFormat="1" x14ac:dyDescent="0.3">
      <c r="A31" s="166"/>
      <c r="C31" s="166"/>
      <c r="E31" s="167"/>
      <c r="F31" s="167"/>
      <c r="G31" s="167"/>
      <c r="H31" s="166"/>
      <c r="I31" s="166"/>
      <c r="J31" s="166"/>
    </row>
    <row r="32" spans="1:10" s="165" customFormat="1" x14ac:dyDescent="0.3">
      <c r="A32" s="166"/>
      <c r="C32" s="166"/>
      <c r="E32" s="167"/>
      <c r="F32" s="167"/>
      <c r="G32" s="167"/>
      <c r="H32" s="166"/>
      <c r="I32" s="166"/>
      <c r="J32" s="166"/>
    </row>
    <row r="33" spans="1:10" s="165" customFormat="1" x14ac:dyDescent="0.3">
      <c r="A33" s="166"/>
      <c r="C33" s="166"/>
      <c r="E33" s="167"/>
      <c r="F33" s="167"/>
      <c r="G33" s="167"/>
      <c r="H33" s="166"/>
      <c r="I33" s="166"/>
      <c r="J33" s="166"/>
    </row>
    <row r="34" spans="1:10" s="165" customFormat="1" x14ac:dyDescent="0.3">
      <c r="A34" s="166"/>
      <c r="C34" s="166"/>
      <c r="E34" s="167"/>
      <c r="F34" s="167"/>
      <c r="G34" s="167"/>
      <c r="H34" s="166"/>
      <c r="I34" s="166"/>
      <c r="J34" s="166"/>
    </row>
    <row r="35" spans="1:10" s="165" customFormat="1" x14ac:dyDescent="0.3">
      <c r="A35" s="166"/>
      <c r="C35" s="166"/>
      <c r="E35" s="167"/>
      <c r="F35" s="167"/>
      <c r="G35" s="167"/>
      <c r="H35" s="166"/>
      <c r="I35" s="166"/>
      <c r="J35" s="166"/>
    </row>
    <row r="36" spans="1:10" s="165" customFormat="1" x14ac:dyDescent="0.3">
      <c r="A36" s="166"/>
      <c r="C36" s="166"/>
      <c r="E36" s="167"/>
      <c r="F36" s="167"/>
      <c r="G36" s="167"/>
      <c r="H36" s="166"/>
      <c r="I36" s="166"/>
      <c r="J36" s="166"/>
    </row>
  </sheetData>
  <mergeCells count="5">
    <mergeCell ref="C1:J1"/>
    <mergeCell ref="C2:J2"/>
    <mergeCell ref="A4:J4"/>
    <mergeCell ref="A5:J5"/>
    <mergeCell ref="E6:J6"/>
  </mergeCells>
  <pageMargins left="0.39370078740157483" right="0.15748031496062992" top="0.55118110236220474" bottom="0.19685039370078741" header="0.31496062992125984" footer="0.19685039370078741"/>
  <pageSetup paperSize="9" scale="90" orientation="landscape" r:id="rId1"/>
  <headerFooter>
    <oddFooter>&amp;RTrang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15</vt:i4>
      </vt:variant>
      <vt:variant>
        <vt:lpstr>Charts</vt:lpstr>
      </vt:variant>
      <vt:variant>
        <vt:i4>1</vt:i4>
      </vt:variant>
      <vt:variant>
        <vt:lpstr>Named Ranges</vt:lpstr>
      </vt:variant>
      <vt:variant>
        <vt:i4>21</vt:i4>
      </vt:variant>
    </vt:vector>
  </HeadingPairs>
  <TitlesOfParts>
    <vt:vector size="37" baseType="lpstr">
      <vt:lpstr>DM Đề xuất CT ĐT</vt:lpstr>
      <vt:lpstr>DM 19 công trình</vt:lpstr>
      <vt:lpstr>Không sử dụng biểu này</vt:lpstr>
      <vt:lpstr>DA ĐÃ CÓ CHỦ TRƯƠNG</vt:lpstr>
      <vt:lpstr>DA CHƯA CÓ CHỦ TRƯƠNG (Bình làm</vt:lpstr>
      <vt:lpstr>1. DA KHỞI CÔNG MỚI 3-2023</vt:lpstr>
      <vt:lpstr>DM ĐX DA khởi công mới 2021 </vt:lpstr>
      <vt:lpstr>DM ĐX Điều chỉnh BS 2021</vt:lpstr>
      <vt:lpstr>2. DỰ ÁN ĐIỀU CHỈNH 3-2023</vt:lpstr>
      <vt:lpstr>DỰ ÁN XD MỚI</vt:lpstr>
      <vt:lpstr>DA KCM 12-2022</vt:lpstr>
      <vt:lpstr>Sheet1</vt:lpstr>
      <vt:lpstr>DỰ ÁN ĐỀ XUẤT MỚI T6-2026</vt:lpstr>
      <vt:lpstr>DỰ ÁN ĐIỀU CHỈNH</vt:lpstr>
      <vt:lpstr>3, DỰ ÁN ĐỀ XUẤT DỪNG, CHẤM DỨT</vt:lpstr>
      <vt:lpstr>Chart1</vt:lpstr>
      <vt:lpstr>'1. DA KHỞI CÔNG MỚI 3-2023'!Print_Area</vt:lpstr>
      <vt:lpstr>'2. DỰ ÁN ĐIỀU CHỈNH 3-2023'!Print_Area</vt:lpstr>
      <vt:lpstr>'DA CHƯA CÓ CHỦ TRƯƠNG (Bình làm'!Print_Area</vt:lpstr>
      <vt:lpstr>'DA ĐÃ CÓ CHỦ TRƯƠNG'!Print_Area</vt:lpstr>
      <vt:lpstr>'DA KCM 12-2022'!Print_Area</vt:lpstr>
      <vt:lpstr>'DM ĐX DA khởi công mới 2021 '!Print_Area</vt:lpstr>
      <vt:lpstr>'DM ĐX Điều chỉnh BS 2021'!Print_Area</vt:lpstr>
      <vt:lpstr>'DỰ ÁN ĐỀ XUẤT MỚI T6-2026'!Print_Area</vt:lpstr>
      <vt:lpstr>'DỰ ÁN XD MỚI'!Print_Area</vt:lpstr>
      <vt:lpstr>'1. DA KHỞI CÔNG MỚI 3-2023'!Print_Titles</vt:lpstr>
      <vt:lpstr>'2. DỰ ÁN ĐIỀU CHỈNH 3-2023'!Print_Titles</vt:lpstr>
      <vt:lpstr>'DA CHƯA CÓ CHỦ TRƯƠNG (Bình làm'!Print_Titles</vt:lpstr>
      <vt:lpstr>'DA ĐÃ CÓ CHỦ TRƯƠNG'!Print_Titles</vt:lpstr>
      <vt:lpstr>'DA KCM 12-2022'!Print_Titles</vt:lpstr>
      <vt:lpstr>'DM 19 công trình'!Print_Titles</vt:lpstr>
      <vt:lpstr>'DM Đề xuất CT ĐT'!Print_Titles</vt:lpstr>
      <vt:lpstr>'DM ĐX DA khởi công mới 2021 '!Print_Titles</vt:lpstr>
      <vt:lpstr>'DM ĐX Điều chỉnh BS 2021'!Print_Titles</vt:lpstr>
      <vt:lpstr>'DỰ ÁN ĐỀ XUẤT MỚI T6-2026'!Print_Titles</vt:lpstr>
      <vt:lpstr>'DỰ ÁN ĐIỀU CHỈNH'!Print_Titles</vt:lpstr>
      <vt:lpstr>'DỰ ÁN XD MỚI'!Print_Titles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TRUONGTUNG</dc:creator>
  <cp:lastModifiedBy>Windows 11</cp:lastModifiedBy>
  <cp:lastPrinted>2026-06-23T09:11:16Z</cp:lastPrinted>
  <dcterms:created xsi:type="dcterms:W3CDTF">2019-09-22T14:19:27Z</dcterms:created>
  <dcterms:modified xsi:type="dcterms:W3CDTF">2026-06-24T10:52:22Z</dcterms:modified>
</cp:coreProperties>
</file>