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ng viec\So Tai Chinh\Cong khai ngan sach\Quyet toan\Nam 2021\"/>
    </mc:Choice>
  </mc:AlternateContent>
  <bookViews>
    <workbookView xWindow="-120" yWindow="-120" windowWidth="19440" windowHeight="11640"/>
  </bookViews>
  <sheets>
    <sheet name="62" sheetId="1" r:id="rId1"/>
    <sheet name="63" sheetId="2" r:id="rId2"/>
    <sheet name="64" sheetId="3" r:id="rId3"/>
    <sheet name="65" sheetId="4" r:id="rId4"/>
    <sheet name="66" sheetId="5" r:id="rId5"/>
    <sheet name="67" sheetId="6" r:id="rId6"/>
    <sheet name="68" sheetId="7" r:id="rId7"/>
  </sheets>
  <definedNames>
    <definedName name="_xlnm.Print_Titles" localSheetId="1">'63'!$5:$7</definedName>
    <definedName name="_xlnm.Print_Titles" localSheetId="2">'64'!$5:$7</definedName>
    <definedName name="_xlnm.Print_Titles" localSheetId="3">'65'!$7:$7</definedName>
    <definedName name="_xlnm.Print_Titles" localSheetId="6">'68'!$5:$8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A3" i="3" s="1"/>
  <c r="A4" i="4" s="1"/>
  <c r="A3" i="5" s="1"/>
  <c r="A3" i="6" s="1"/>
  <c r="A3" i="7" s="1"/>
  <c r="T38" i="7" l="1"/>
  <c r="R38" i="7"/>
  <c r="T37" i="7"/>
  <c r="R37" i="7"/>
  <c r="T36" i="7"/>
  <c r="R36" i="7"/>
  <c r="T35" i="7"/>
  <c r="R35" i="7"/>
  <c r="T34" i="7"/>
  <c r="R34" i="7"/>
  <c r="T33" i="7"/>
  <c r="R33" i="7"/>
  <c r="T32" i="7"/>
  <c r="R32" i="7"/>
  <c r="T31" i="7"/>
  <c r="R31" i="7"/>
  <c r="T30" i="7"/>
  <c r="R30" i="7"/>
  <c r="T29" i="7"/>
  <c r="R29" i="7"/>
  <c r="T28" i="7"/>
  <c r="R28" i="7"/>
  <c r="T27" i="7"/>
  <c r="R27" i="7"/>
  <c r="T26" i="7"/>
  <c r="R26" i="7"/>
  <c r="T25" i="7"/>
  <c r="R25" i="7"/>
  <c r="T24" i="7"/>
  <c r="R24" i="7"/>
  <c r="T23" i="7"/>
  <c r="R23" i="7"/>
  <c r="T22" i="7"/>
  <c r="R22" i="7"/>
  <c r="T21" i="7"/>
  <c r="R21" i="7"/>
  <c r="T20" i="7"/>
  <c r="R20" i="7"/>
  <c r="T19" i="7"/>
  <c r="R19" i="7"/>
  <c r="T16" i="7"/>
  <c r="R16" i="7"/>
  <c r="T15" i="7"/>
  <c r="R15" i="7"/>
  <c r="T9" i="7"/>
  <c r="R9" i="7"/>
  <c r="T18" i="6" l="1"/>
  <c r="S18" i="6"/>
  <c r="R18" i="6"/>
  <c r="Q18" i="6"/>
  <c r="P18" i="6"/>
  <c r="O18" i="6"/>
  <c r="T17" i="6"/>
  <c r="S17" i="6"/>
  <c r="R17" i="6"/>
  <c r="Q17" i="6"/>
  <c r="P17" i="6"/>
  <c r="O17" i="6"/>
  <c r="T16" i="6"/>
  <c r="S16" i="6"/>
  <c r="R16" i="6"/>
  <c r="Q16" i="6"/>
  <c r="P16" i="6"/>
  <c r="O16" i="6"/>
  <c r="T15" i="6"/>
  <c r="S15" i="6"/>
  <c r="R15" i="6"/>
  <c r="Q15" i="6"/>
  <c r="P15" i="6"/>
  <c r="O15" i="6"/>
  <c r="T14" i="6"/>
  <c r="S14" i="6"/>
  <c r="R14" i="6"/>
  <c r="Q14" i="6"/>
  <c r="P14" i="6"/>
  <c r="O14" i="6"/>
  <c r="T13" i="6"/>
  <c r="S13" i="6"/>
  <c r="R13" i="6"/>
  <c r="Q13" i="6"/>
  <c r="P13" i="6"/>
  <c r="O13" i="6"/>
  <c r="T12" i="6"/>
  <c r="S12" i="6"/>
  <c r="R12" i="6"/>
  <c r="Q12" i="6"/>
  <c r="P12" i="6"/>
  <c r="O12" i="6"/>
  <c r="T11" i="6"/>
  <c r="S11" i="6"/>
  <c r="R11" i="6"/>
  <c r="Q11" i="6"/>
  <c r="P11" i="6"/>
  <c r="O11" i="6"/>
  <c r="T10" i="6"/>
  <c r="S10" i="6"/>
  <c r="R10" i="6"/>
  <c r="Q10" i="6"/>
  <c r="P10" i="6"/>
  <c r="O10" i="6"/>
  <c r="T9" i="6"/>
  <c r="S9" i="6"/>
  <c r="R9" i="6"/>
  <c r="Q9" i="6"/>
  <c r="P9" i="6"/>
  <c r="O9" i="6"/>
  <c r="T8" i="6"/>
  <c r="S8" i="6"/>
  <c r="R8" i="6"/>
  <c r="Q8" i="6"/>
  <c r="P8" i="6"/>
  <c r="O8" i="6"/>
  <c r="O860" i="5" l="1"/>
  <c r="O859" i="5"/>
  <c r="O858" i="5"/>
  <c r="P857" i="5"/>
  <c r="F857" i="5"/>
  <c r="O857" i="5" s="1"/>
  <c r="P856" i="5"/>
  <c r="O856" i="5"/>
  <c r="F856" i="5"/>
  <c r="P855" i="5"/>
  <c r="F855" i="5"/>
  <c r="O855" i="5" s="1"/>
  <c r="P854" i="5"/>
  <c r="F854" i="5"/>
  <c r="O854" i="5" s="1"/>
  <c r="P853" i="5"/>
  <c r="O853" i="5"/>
  <c r="F853" i="5"/>
  <c r="P852" i="5"/>
  <c r="O852" i="5"/>
  <c r="F852" i="5"/>
  <c r="P851" i="5"/>
  <c r="F851" i="5"/>
  <c r="O851" i="5" s="1"/>
  <c r="P850" i="5"/>
  <c r="F850" i="5"/>
  <c r="O850" i="5" s="1"/>
  <c r="P849" i="5"/>
  <c r="O849" i="5"/>
  <c r="F849" i="5"/>
  <c r="P848" i="5"/>
  <c r="O848" i="5"/>
  <c r="F848" i="5"/>
  <c r="P847" i="5"/>
  <c r="F847" i="5"/>
  <c r="O847" i="5" s="1"/>
  <c r="P846" i="5"/>
  <c r="F846" i="5"/>
  <c r="O846" i="5" s="1"/>
  <c r="P845" i="5"/>
  <c r="O845" i="5"/>
  <c r="F845" i="5"/>
  <c r="F844" i="5"/>
  <c r="P843" i="5"/>
  <c r="O843" i="5"/>
  <c r="F843" i="5"/>
  <c r="P842" i="5"/>
  <c r="O842" i="5"/>
  <c r="F842" i="5"/>
  <c r="P841" i="5"/>
  <c r="F841" i="5"/>
  <c r="O841" i="5" s="1"/>
  <c r="P840" i="5"/>
  <c r="F840" i="5"/>
  <c r="O840" i="5" s="1"/>
  <c r="P839" i="5"/>
  <c r="F839" i="5"/>
  <c r="O839" i="5" s="1"/>
  <c r="P838" i="5"/>
  <c r="O838" i="5"/>
  <c r="F838" i="5"/>
  <c r="F837" i="5"/>
  <c r="P836" i="5"/>
  <c r="O836" i="5"/>
  <c r="F836" i="5"/>
  <c r="P835" i="5"/>
  <c r="F835" i="5"/>
  <c r="O835" i="5" s="1"/>
  <c r="F834" i="5"/>
  <c r="P833" i="5"/>
  <c r="F833" i="5"/>
  <c r="O833" i="5" s="1"/>
  <c r="P832" i="5"/>
  <c r="O832" i="5"/>
  <c r="F832" i="5"/>
  <c r="P831" i="5"/>
  <c r="F831" i="5"/>
  <c r="O831" i="5" s="1"/>
  <c r="F830" i="5"/>
  <c r="P829" i="5"/>
  <c r="F829" i="5"/>
  <c r="O829" i="5" s="1"/>
  <c r="H828" i="5"/>
  <c r="G828" i="5"/>
  <c r="P828" i="5" s="1"/>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P683" i="5"/>
  <c r="H683" i="5"/>
  <c r="G683" i="5"/>
  <c r="F683" i="5"/>
  <c r="O683" i="5" s="1"/>
  <c r="P682" i="5"/>
  <c r="F682" i="5"/>
  <c r="O682" i="5" s="1"/>
  <c r="P681" i="5"/>
  <c r="F681" i="5"/>
  <c r="O681" i="5" s="1"/>
  <c r="O680" i="5"/>
  <c r="H680" i="5"/>
  <c r="G680" i="5"/>
  <c r="P680" i="5" s="1"/>
  <c r="F680" i="5"/>
  <c r="P679" i="5"/>
  <c r="F679" i="5"/>
  <c r="O679" i="5" s="1"/>
  <c r="P678" i="5"/>
  <c r="O678" i="5"/>
  <c r="F678" i="5"/>
  <c r="P677" i="5"/>
  <c r="F677" i="5"/>
  <c r="O677" i="5" s="1"/>
  <c r="P676" i="5"/>
  <c r="F676" i="5"/>
  <c r="O676" i="5" s="1"/>
  <c r="P675" i="5"/>
  <c r="F675" i="5"/>
  <c r="O675" i="5" s="1"/>
  <c r="P674" i="5"/>
  <c r="O674" i="5"/>
  <c r="G674" i="5"/>
  <c r="F674" i="5"/>
  <c r="P673" i="5"/>
  <c r="O673" i="5"/>
  <c r="F673" i="5"/>
  <c r="P672" i="5"/>
  <c r="F672" i="5"/>
  <c r="O672" i="5" s="1"/>
  <c r="F671" i="5"/>
  <c r="F670" i="5"/>
  <c r="F669" i="5"/>
  <c r="F668" i="5"/>
  <c r="F667" i="5"/>
  <c r="F666" i="5"/>
  <c r="P665" i="5"/>
  <c r="O665" i="5"/>
  <c r="F665" i="5"/>
  <c r="P664" i="5"/>
  <c r="F664" i="5"/>
  <c r="O664" i="5" s="1"/>
  <c r="P663" i="5"/>
  <c r="O663" i="5"/>
  <c r="F663" i="5"/>
  <c r="P662" i="5"/>
  <c r="H662" i="5"/>
  <c r="G662" i="5"/>
  <c r="F662" i="5"/>
  <c r="O662" i="5" s="1"/>
  <c r="P661" i="5"/>
  <c r="O661" i="5"/>
  <c r="F661" i="5"/>
  <c r="P660" i="5"/>
  <c r="H660" i="5"/>
  <c r="G660" i="5"/>
  <c r="F660" i="5"/>
  <c r="O660" i="5" s="1"/>
  <c r="P659" i="5"/>
  <c r="F659" i="5"/>
  <c r="O659" i="5" s="1"/>
  <c r="P658" i="5"/>
  <c r="F658" i="5"/>
  <c r="O658" i="5" s="1"/>
  <c r="P657" i="5"/>
  <c r="O657" i="5"/>
  <c r="F657" i="5"/>
  <c r="P656" i="5"/>
  <c r="H656" i="5"/>
  <c r="G656" i="5"/>
  <c r="F656" i="5"/>
  <c r="O656" i="5" s="1"/>
  <c r="F655" i="5"/>
  <c r="P654" i="5"/>
  <c r="F654" i="5"/>
  <c r="O654" i="5" s="1"/>
  <c r="P653" i="5"/>
  <c r="O653" i="5"/>
  <c r="F653" i="5"/>
  <c r="P652" i="5"/>
  <c r="F652" i="5"/>
  <c r="O652" i="5" s="1"/>
  <c r="H651" i="5"/>
  <c r="G651" i="5"/>
  <c r="P650" i="5"/>
  <c r="O650" i="5"/>
  <c r="F650" i="5"/>
  <c r="P649" i="5"/>
  <c r="F649" i="5"/>
  <c r="O649" i="5" s="1"/>
  <c r="P648" i="5"/>
  <c r="F648" i="5"/>
  <c r="O648" i="5" s="1"/>
  <c r="P647" i="5"/>
  <c r="O647" i="5"/>
  <c r="F647" i="5"/>
  <c r="P646" i="5"/>
  <c r="F646" i="5"/>
  <c r="O646" i="5" s="1"/>
  <c r="H645" i="5"/>
  <c r="G645" i="5"/>
  <c r="P644" i="5"/>
  <c r="F644" i="5"/>
  <c r="O644" i="5" s="1"/>
  <c r="P643" i="5"/>
  <c r="F643" i="5"/>
  <c r="O643" i="5" s="1"/>
  <c r="P642" i="5"/>
  <c r="F642" i="5"/>
  <c r="O642" i="5" s="1"/>
  <c r="P641" i="5"/>
  <c r="H641" i="5"/>
  <c r="G641" i="5"/>
  <c r="F641" i="5"/>
  <c r="O641" i="5" s="1"/>
  <c r="P640" i="5"/>
  <c r="F640" i="5"/>
  <c r="O640" i="5" s="1"/>
  <c r="P639" i="5"/>
  <c r="O639" i="5"/>
  <c r="F639" i="5"/>
  <c r="P638" i="5"/>
  <c r="O638" i="5"/>
  <c r="F638" i="5"/>
  <c r="P637" i="5"/>
  <c r="F637" i="5"/>
  <c r="O637" i="5" s="1"/>
  <c r="P636" i="5"/>
  <c r="F636" i="5"/>
  <c r="O636" i="5" s="1"/>
  <c r="P635" i="5"/>
  <c r="O635" i="5"/>
  <c r="F635" i="5"/>
  <c r="P634" i="5"/>
  <c r="F634" i="5"/>
  <c r="O634" i="5" s="1"/>
  <c r="P633" i="5"/>
  <c r="F633" i="5"/>
  <c r="O633" i="5" s="1"/>
  <c r="P632" i="5"/>
  <c r="F632" i="5"/>
  <c r="O632" i="5" s="1"/>
  <c r="P631" i="5"/>
  <c r="O631" i="5"/>
  <c r="F631" i="5"/>
  <c r="F630" i="5"/>
  <c r="P629" i="5"/>
  <c r="O629" i="5"/>
  <c r="F629" i="5"/>
  <c r="P628" i="5"/>
  <c r="O628" i="5"/>
  <c r="F628" i="5"/>
  <c r="P627" i="5"/>
  <c r="F627" i="5"/>
  <c r="O627" i="5" s="1"/>
  <c r="P626" i="5"/>
  <c r="F626" i="5"/>
  <c r="O626" i="5" s="1"/>
  <c r="P625" i="5"/>
  <c r="O625" i="5"/>
  <c r="F625" i="5"/>
  <c r="P624" i="5"/>
  <c r="F624" i="5"/>
  <c r="O624" i="5" s="1"/>
  <c r="P623" i="5"/>
  <c r="F623" i="5"/>
  <c r="O623" i="5" s="1"/>
  <c r="P622" i="5"/>
  <c r="F622" i="5"/>
  <c r="O622" i="5" s="1"/>
  <c r="P621" i="5"/>
  <c r="O621" i="5"/>
  <c r="F621" i="5"/>
  <c r="P620" i="5"/>
  <c r="O620" i="5"/>
  <c r="F620" i="5"/>
  <c r="P619" i="5"/>
  <c r="F619" i="5"/>
  <c r="O619" i="5" s="1"/>
  <c r="P618" i="5"/>
  <c r="F618" i="5"/>
  <c r="O618" i="5" s="1"/>
  <c r="P617" i="5"/>
  <c r="O617" i="5"/>
  <c r="F617" i="5"/>
  <c r="P616" i="5"/>
  <c r="F616" i="5"/>
  <c r="O616" i="5" s="1"/>
  <c r="P615" i="5"/>
  <c r="F615" i="5"/>
  <c r="O615" i="5" s="1"/>
  <c r="P614" i="5"/>
  <c r="F614" i="5"/>
  <c r="O614" i="5" s="1"/>
  <c r="P613" i="5"/>
  <c r="H613" i="5"/>
  <c r="G613" i="5"/>
  <c r="F613" i="5"/>
  <c r="O613" i="5" s="1"/>
  <c r="P612" i="5"/>
  <c r="F612" i="5"/>
  <c r="O612" i="5" s="1"/>
  <c r="P611" i="5"/>
  <c r="O611" i="5"/>
  <c r="F611" i="5"/>
  <c r="P610" i="5"/>
  <c r="F610" i="5"/>
  <c r="O610" i="5" s="1"/>
  <c r="P609" i="5"/>
  <c r="F609" i="5"/>
  <c r="O609" i="5" s="1"/>
  <c r="P608" i="5"/>
  <c r="F608" i="5"/>
  <c r="O608" i="5" s="1"/>
  <c r="P607" i="5"/>
  <c r="O607" i="5"/>
  <c r="F607" i="5"/>
  <c r="P606" i="5"/>
  <c r="O606" i="5"/>
  <c r="F606" i="5"/>
  <c r="P605" i="5"/>
  <c r="F605" i="5"/>
  <c r="O605" i="5" s="1"/>
  <c r="P604" i="5"/>
  <c r="F604" i="5"/>
  <c r="O604" i="5" s="1"/>
  <c r="P603" i="5"/>
  <c r="O603" i="5"/>
  <c r="F603" i="5"/>
  <c r="P602" i="5"/>
  <c r="F602" i="5"/>
  <c r="O602" i="5" s="1"/>
  <c r="P601" i="5"/>
  <c r="F601" i="5"/>
  <c r="O601" i="5" s="1"/>
  <c r="P600" i="5"/>
  <c r="F600" i="5"/>
  <c r="O600" i="5" s="1"/>
  <c r="P599" i="5"/>
  <c r="O599" i="5"/>
  <c r="F599" i="5"/>
  <c r="P598" i="5"/>
  <c r="O598" i="5"/>
  <c r="F598" i="5"/>
  <c r="P597" i="5"/>
  <c r="F597" i="5"/>
  <c r="O597" i="5" s="1"/>
  <c r="P596" i="5"/>
  <c r="F596" i="5"/>
  <c r="O596" i="5" s="1"/>
  <c r="P595" i="5"/>
  <c r="O595" i="5"/>
  <c r="H595" i="5"/>
  <c r="G595" i="5"/>
  <c r="F595" i="5"/>
  <c r="P594" i="5"/>
  <c r="F594" i="5"/>
  <c r="O594" i="5" s="1"/>
  <c r="P593" i="5"/>
  <c r="O593" i="5"/>
  <c r="F593" i="5"/>
  <c r="P592" i="5"/>
  <c r="F592" i="5"/>
  <c r="O592" i="5" s="1"/>
  <c r="P591" i="5"/>
  <c r="F591" i="5"/>
  <c r="O591" i="5" s="1"/>
  <c r="P590" i="5"/>
  <c r="F590" i="5"/>
  <c r="O590" i="5" s="1"/>
  <c r="P589" i="5"/>
  <c r="O589" i="5"/>
  <c r="F589" i="5"/>
  <c r="F588" i="5"/>
  <c r="P587" i="5"/>
  <c r="O587" i="5"/>
  <c r="F587" i="5"/>
  <c r="P586" i="5"/>
  <c r="O586" i="5"/>
  <c r="F586" i="5"/>
  <c r="P585" i="5"/>
  <c r="F585" i="5"/>
  <c r="O585" i="5" s="1"/>
  <c r="P584" i="5"/>
  <c r="F584" i="5"/>
  <c r="O584" i="5" s="1"/>
  <c r="P583" i="5"/>
  <c r="O583" i="5"/>
  <c r="F583" i="5"/>
  <c r="P582" i="5"/>
  <c r="F582" i="5"/>
  <c r="O582" i="5" s="1"/>
  <c r="P581" i="5"/>
  <c r="F581" i="5"/>
  <c r="O581" i="5" s="1"/>
  <c r="P580" i="5"/>
  <c r="F580" i="5"/>
  <c r="O580" i="5" s="1"/>
  <c r="P579" i="5"/>
  <c r="O579" i="5"/>
  <c r="F579" i="5"/>
  <c r="P578" i="5"/>
  <c r="O578" i="5"/>
  <c r="F578" i="5"/>
  <c r="H577" i="5"/>
  <c r="G577" i="5"/>
  <c r="P576" i="5"/>
  <c r="O576" i="5"/>
  <c r="F576" i="5"/>
  <c r="P575" i="5"/>
  <c r="F575" i="5"/>
  <c r="O575" i="5" s="1"/>
  <c r="H574" i="5"/>
  <c r="G574" i="5"/>
  <c r="P574" i="5" s="1"/>
  <c r="F574" i="5"/>
  <c r="O574" i="5" s="1"/>
  <c r="P573" i="5"/>
  <c r="F573" i="5"/>
  <c r="O573" i="5" s="1"/>
  <c r="P572" i="5"/>
  <c r="O572" i="5"/>
  <c r="F572" i="5"/>
  <c r="P571" i="5"/>
  <c r="O571" i="5"/>
  <c r="F571" i="5"/>
  <c r="P570" i="5"/>
  <c r="F570" i="5"/>
  <c r="O570" i="5" s="1"/>
  <c r="H569" i="5"/>
  <c r="G569" i="5"/>
  <c r="P568" i="5"/>
  <c r="F568" i="5"/>
  <c r="O568" i="5" s="1"/>
  <c r="P567" i="5"/>
  <c r="F567" i="5"/>
  <c r="O567" i="5" s="1"/>
  <c r="P566" i="5"/>
  <c r="O566" i="5"/>
  <c r="F566" i="5"/>
  <c r="P565" i="5"/>
  <c r="O565" i="5"/>
  <c r="F565" i="5"/>
  <c r="H564" i="5"/>
  <c r="G564" i="5"/>
  <c r="P564" i="5" s="1"/>
  <c r="P563" i="5"/>
  <c r="O563" i="5"/>
  <c r="F563" i="5"/>
  <c r="P562" i="5"/>
  <c r="O562" i="5"/>
  <c r="F562" i="5"/>
  <c r="P561" i="5"/>
  <c r="F561" i="5"/>
  <c r="O561" i="5" s="1"/>
  <c r="P560" i="5"/>
  <c r="H560" i="5"/>
  <c r="G560" i="5"/>
  <c r="F560" i="5"/>
  <c r="O560" i="5" s="1"/>
  <c r="P559" i="5"/>
  <c r="F559" i="5"/>
  <c r="O559" i="5" s="1"/>
  <c r="P558" i="5"/>
  <c r="O558" i="5"/>
  <c r="F558" i="5"/>
  <c r="P557" i="5"/>
  <c r="O557" i="5"/>
  <c r="F557" i="5"/>
  <c r="P556" i="5"/>
  <c r="O556" i="5"/>
  <c r="F556" i="5"/>
  <c r="P555" i="5"/>
  <c r="F555" i="5"/>
  <c r="O555" i="5" s="1"/>
  <c r="P554" i="5"/>
  <c r="O554" i="5"/>
  <c r="F554" i="5"/>
  <c r="F553" i="5"/>
  <c r="P552" i="5"/>
  <c r="O552" i="5"/>
  <c r="F552" i="5"/>
  <c r="P551" i="5"/>
  <c r="O551" i="5"/>
  <c r="F551" i="5"/>
  <c r="P550" i="5"/>
  <c r="O550" i="5"/>
  <c r="F550" i="5"/>
  <c r="P549" i="5"/>
  <c r="F549" i="5"/>
  <c r="O549" i="5" s="1"/>
  <c r="P548" i="5"/>
  <c r="O548" i="5"/>
  <c r="F548" i="5"/>
  <c r="P547" i="5"/>
  <c r="O547" i="5"/>
  <c r="F547" i="5"/>
  <c r="P546" i="5"/>
  <c r="F546" i="5"/>
  <c r="O546" i="5" s="1"/>
  <c r="P545" i="5"/>
  <c r="F545" i="5"/>
  <c r="O545" i="5" s="1"/>
  <c r="P544" i="5"/>
  <c r="F544" i="5"/>
  <c r="O544" i="5" s="1"/>
  <c r="P543" i="5"/>
  <c r="O543" i="5"/>
  <c r="F543" i="5"/>
  <c r="P542" i="5"/>
  <c r="O542" i="5"/>
  <c r="F542" i="5"/>
  <c r="P541" i="5"/>
  <c r="F541" i="5"/>
  <c r="O541" i="5" s="1"/>
  <c r="P540" i="5"/>
  <c r="O540" i="5"/>
  <c r="F540" i="5"/>
  <c r="P539" i="5"/>
  <c r="O539" i="5"/>
  <c r="F539" i="5"/>
  <c r="P538" i="5"/>
  <c r="O538" i="5"/>
  <c r="F538" i="5"/>
  <c r="P537" i="5"/>
  <c r="F537" i="5"/>
  <c r="O537" i="5" s="1"/>
  <c r="P536" i="5"/>
  <c r="O536" i="5"/>
  <c r="F536" i="5"/>
  <c r="P535" i="5"/>
  <c r="O535" i="5"/>
  <c r="F535" i="5"/>
  <c r="P534" i="5"/>
  <c r="F534" i="5"/>
  <c r="O534" i="5" s="1"/>
  <c r="P533" i="5"/>
  <c r="F533" i="5"/>
  <c r="O533" i="5" s="1"/>
  <c r="P532" i="5"/>
  <c r="O532" i="5"/>
  <c r="F532" i="5"/>
  <c r="P531" i="5"/>
  <c r="O531" i="5"/>
  <c r="F531" i="5"/>
  <c r="P530" i="5"/>
  <c r="F530" i="5"/>
  <c r="O530" i="5" s="1"/>
  <c r="P529" i="5"/>
  <c r="F529" i="5"/>
  <c r="O529" i="5" s="1"/>
  <c r="P528" i="5"/>
  <c r="F528" i="5"/>
  <c r="O528" i="5" s="1"/>
  <c r="P527" i="5"/>
  <c r="O527" i="5"/>
  <c r="F527" i="5"/>
  <c r="P526" i="5"/>
  <c r="O526" i="5"/>
  <c r="F526" i="5"/>
  <c r="P525" i="5"/>
  <c r="F525" i="5"/>
  <c r="O525" i="5" s="1"/>
  <c r="P524" i="5"/>
  <c r="O524" i="5"/>
  <c r="F524" i="5"/>
  <c r="P523" i="5"/>
  <c r="O523" i="5"/>
  <c r="F523" i="5"/>
  <c r="P522" i="5"/>
  <c r="F522" i="5"/>
  <c r="O522" i="5" s="1"/>
  <c r="P521" i="5"/>
  <c r="F521" i="5"/>
  <c r="O521" i="5" s="1"/>
  <c r="P520" i="5"/>
  <c r="O520" i="5"/>
  <c r="F520" i="5"/>
  <c r="P519" i="5"/>
  <c r="O519" i="5"/>
  <c r="F519" i="5"/>
  <c r="F518" i="5"/>
  <c r="F517" i="5"/>
  <c r="O516" i="5"/>
  <c r="F516" i="5"/>
  <c r="F515" i="5"/>
  <c r="O515" i="5" s="1"/>
  <c r="F514" i="5"/>
  <c r="O513" i="5"/>
  <c r="F513" i="5"/>
  <c r="H512" i="5"/>
  <c r="G512" i="5"/>
  <c r="F512" i="5" s="1"/>
  <c r="O512" i="5" s="1"/>
  <c r="O511" i="5"/>
  <c r="F511" i="5"/>
  <c r="O510" i="5"/>
  <c r="F510" i="5"/>
  <c r="O509" i="5"/>
  <c r="F509" i="5"/>
  <c r="O508" i="5"/>
  <c r="F508" i="5"/>
  <c r="O507" i="5"/>
  <c r="H507" i="5"/>
  <c r="G507" i="5"/>
  <c r="F507" i="5" s="1"/>
  <c r="F506" i="5"/>
  <c r="O506" i="5" s="1"/>
  <c r="H505" i="5"/>
  <c r="G505" i="5"/>
  <c r="F505" i="5"/>
  <c r="O505" i="5" s="1"/>
  <c r="G504" i="5"/>
  <c r="F503" i="5"/>
  <c r="Q502" i="5"/>
  <c r="O502" i="5"/>
  <c r="F502" i="5"/>
  <c r="Q501" i="5"/>
  <c r="F501" i="5"/>
  <c r="O501" i="5" s="1"/>
  <c r="Q500" i="5"/>
  <c r="F500" i="5"/>
  <c r="C500" i="5"/>
  <c r="O500" i="5" s="1"/>
  <c r="F499" i="5"/>
  <c r="C499" i="5"/>
  <c r="H498" i="5"/>
  <c r="C498" i="5"/>
  <c r="F497" i="5"/>
  <c r="C497" i="5"/>
  <c r="F496" i="5"/>
  <c r="C496" i="5"/>
  <c r="F495" i="5"/>
  <c r="C495" i="5"/>
  <c r="H494" i="5"/>
  <c r="Q494" i="5" s="1"/>
  <c r="F494" i="5"/>
  <c r="O494" i="5" s="1"/>
  <c r="C494" i="5"/>
  <c r="Q493" i="5"/>
  <c r="F493" i="5"/>
  <c r="O493" i="5" s="1"/>
  <c r="C493" i="5"/>
  <c r="Q492" i="5"/>
  <c r="F492" i="5"/>
  <c r="O492" i="5" s="1"/>
  <c r="C492" i="5"/>
  <c r="H491" i="5"/>
  <c r="C491" i="5"/>
  <c r="Q490" i="5"/>
  <c r="O490" i="5"/>
  <c r="F490" i="5"/>
  <c r="C490" i="5"/>
  <c r="Q489" i="5"/>
  <c r="O489" i="5"/>
  <c r="F489" i="5"/>
  <c r="C489" i="5"/>
  <c r="Q488" i="5"/>
  <c r="O488" i="5"/>
  <c r="F488" i="5"/>
  <c r="C488" i="5"/>
  <c r="Q487" i="5"/>
  <c r="O487" i="5"/>
  <c r="F487" i="5"/>
  <c r="C487" i="5"/>
  <c r="Q486" i="5"/>
  <c r="O486" i="5"/>
  <c r="F486" i="5"/>
  <c r="C486" i="5"/>
  <c r="Q485" i="5"/>
  <c r="O485" i="5"/>
  <c r="F485" i="5"/>
  <c r="C485" i="5"/>
  <c r="Q484" i="5"/>
  <c r="O484" i="5"/>
  <c r="F484" i="5"/>
  <c r="C484" i="5"/>
  <c r="Q483" i="5"/>
  <c r="H483" i="5"/>
  <c r="F483" i="5" s="1"/>
  <c r="C483" i="5"/>
  <c r="O483" i="5" s="1"/>
  <c r="H482" i="5"/>
  <c r="F482" i="5" s="1"/>
  <c r="C482" i="5"/>
  <c r="Q481" i="5"/>
  <c r="O481" i="5"/>
  <c r="F481" i="5"/>
  <c r="C481" i="5"/>
  <c r="Q480" i="5"/>
  <c r="O480" i="5"/>
  <c r="F480" i="5"/>
  <c r="C480" i="5"/>
  <c r="Q479" i="5"/>
  <c r="O479" i="5"/>
  <c r="F479" i="5"/>
  <c r="C479" i="5"/>
  <c r="Q478" i="5"/>
  <c r="O478" i="5"/>
  <c r="F478" i="5"/>
  <c r="C478" i="5"/>
  <c r="Q477" i="5"/>
  <c r="O477" i="5"/>
  <c r="F477" i="5"/>
  <c r="C477" i="5"/>
  <c r="Q476" i="5"/>
  <c r="O476" i="5"/>
  <c r="F476" i="5"/>
  <c r="C476" i="5"/>
  <c r="Q475" i="5"/>
  <c r="O475" i="5"/>
  <c r="F475" i="5"/>
  <c r="C475" i="5"/>
  <c r="Q474" i="5"/>
  <c r="O474" i="5"/>
  <c r="F474" i="5"/>
  <c r="C474" i="5"/>
  <c r="Q473" i="5"/>
  <c r="O473" i="5"/>
  <c r="F473" i="5"/>
  <c r="C473" i="5"/>
  <c r="Q472" i="5"/>
  <c r="O472" i="5"/>
  <c r="F472" i="5"/>
  <c r="C472" i="5"/>
  <c r="Q471" i="5"/>
  <c r="O471" i="5"/>
  <c r="F471" i="5"/>
  <c r="C471" i="5"/>
  <c r="Q470" i="5"/>
  <c r="O470" i="5"/>
  <c r="F470" i="5"/>
  <c r="C470" i="5"/>
  <c r="Q469" i="5"/>
  <c r="H469" i="5"/>
  <c r="F469" i="5" s="1"/>
  <c r="O469" i="5" s="1"/>
  <c r="C469" i="5"/>
  <c r="Q468" i="5"/>
  <c r="O468" i="5"/>
  <c r="C468" i="5"/>
  <c r="Q467" i="5"/>
  <c r="O467" i="5"/>
  <c r="C467" i="5"/>
  <c r="Q466" i="5"/>
  <c r="O466" i="5"/>
  <c r="F466" i="5"/>
  <c r="H465" i="5"/>
  <c r="F465" i="5"/>
  <c r="O465" i="5" s="1"/>
  <c r="Q463" i="5"/>
  <c r="O463" i="5"/>
  <c r="F463" i="5"/>
  <c r="Q462" i="5"/>
  <c r="O462" i="5"/>
  <c r="F462" i="5"/>
  <c r="Q461" i="5"/>
  <c r="F461" i="5"/>
  <c r="O461" i="5" s="1"/>
  <c r="Q460" i="5"/>
  <c r="O460" i="5"/>
  <c r="F460" i="5"/>
  <c r="Q459" i="5"/>
  <c r="O459" i="5"/>
  <c r="F459" i="5"/>
  <c r="Q458" i="5"/>
  <c r="O458" i="5"/>
  <c r="F458" i="5"/>
  <c r="Q457" i="5"/>
  <c r="F457" i="5"/>
  <c r="O457" i="5" s="1"/>
  <c r="Q456" i="5"/>
  <c r="H456" i="5"/>
  <c r="F456" i="5"/>
  <c r="O456" i="5" s="1"/>
  <c r="Q455" i="5"/>
  <c r="F455" i="5"/>
  <c r="O455" i="5" s="1"/>
  <c r="Q454" i="5"/>
  <c r="O454" i="5"/>
  <c r="F454" i="5"/>
  <c r="Q453" i="5"/>
  <c r="O453" i="5"/>
  <c r="F453" i="5"/>
  <c r="Q452" i="5"/>
  <c r="F452" i="5"/>
  <c r="O452" i="5" s="1"/>
  <c r="Q451" i="5"/>
  <c r="F451" i="5"/>
  <c r="O451" i="5" s="1"/>
  <c r="Q450" i="5"/>
  <c r="O450" i="5"/>
  <c r="F450" i="5"/>
  <c r="Q449" i="5"/>
  <c r="F449" i="5"/>
  <c r="O449" i="5" s="1"/>
  <c r="Q448" i="5"/>
  <c r="F448" i="5"/>
  <c r="O448" i="5" s="1"/>
  <c r="Q447" i="5"/>
  <c r="F447" i="5"/>
  <c r="O447" i="5" s="1"/>
  <c r="Q446" i="5"/>
  <c r="O446" i="5"/>
  <c r="F446" i="5"/>
  <c r="Q445" i="5"/>
  <c r="F445" i="5"/>
  <c r="O445" i="5" s="1"/>
  <c r="Q444" i="5"/>
  <c r="F444" i="5"/>
  <c r="O444" i="5" s="1"/>
  <c r="Q443" i="5"/>
  <c r="H443" i="5"/>
  <c r="F443" i="5"/>
  <c r="O443" i="5" s="1"/>
  <c r="Q442" i="5"/>
  <c r="F442" i="5"/>
  <c r="O442" i="5" s="1"/>
  <c r="Q441" i="5"/>
  <c r="O441" i="5"/>
  <c r="F441" i="5"/>
  <c r="Q440" i="5"/>
  <c r="F440" i="5"/>
  <c r="O440" i="5" s="1"/>
  <c r="Q439" i="5"/>
  <c r="F439" i="5"/>
  <c r="O439" i="5" s="1"/>
  <c r="Q438" i="5"/>
  <c r="O438" i="5"/>
  <c r="F438" i="5"/>
  <c r="Q437" i="5"/>
  <c r="O437" i="5"/>
  <c r="F437" i="5"/>
  <c r="Q436" i="5"/>
  <c r="F436" i="5"/>
  <c r="O436" i="5" s="1"/>
  <c r="Q435" i="5"/>
  <c r="F435" i="5"/>
  <c r="O435" i="5" s="1"/>
  <c r="Q434" i="5"/>
  <c r="O434" i="5"/>
  <c r="F434" i="5"/>
  <c r="Q433" i="5"/>
  <c r="O433" i="5"/>
  <c r="F433" i="5"/>
  <c r="H432" i="5"/>
  <c r="H431" i="5"/>
  <c r="Q430" i="5"/>
  <c r="O430" i="5"/>
  <c r="F430" i="5"/>
  <c r="Q429" i="5"/>
  <c r="F429" i="5"/>
  <c r="O429" i="5" s="1"/>
  <c r="Q428" i="5"/>
  <c r="H428" i="5"/>
  <c r="F428" i="5"/>
  <c r="O428" i="5" s="1"/>
  <c r="Q427" i="5"/>
  <c r="F427" i="5"/>
  <c r="O427" i="5" s="1"/>
  <c r="Q426" i="5"/>
  <c r="O426" i="5"/>
  <c r="F426" i="5"/>
  <c r="Q425" i="5"/>
  <c r="O425" i="5"/>
  <c r="F425" i="5"/>
  <c r="Q424" i="5"/>
  <c r="F424" i="5"/>
  <c r="O424" i="5" s="1"/>
  <c r="Q423" i="5"/>
  <c r="F423" i="5"/>
  <c r="O423" i="5" s="1"/>
  <c r="Q422" i="5"/>
  <c r="O422" i="5"/>
  <c r="F422" i="5"/>
  <c r="Q421" i="5"/>
  <c r="F421" i="5"/>
  <c r="O421" i="5" s="1"/>
  <c r="Q420" i="5"/>
  <c r="F420" i="5"/>
  <c r="O420" i="5" s="1"/>
  <c r="Q419" i="5"/>
  <c r="F419" i="5"/>
  <c r="O419" i="5" s="1"/>
  <c r="Q418" i="5"/>
  <c r="H418" i="5"/>
  <c r="F418" i="5" s="1"/>
  <c r="O418" i="5" s="1"/>
  <c r="Q417" i="5"/>
  <c r="O417" i="5"/>
  <c r="F417" i="5"/>
  <c r="F415" i="5"/>
  <c r="F414" i="5"/>
  <c r="F413" i="5"/>
  <c r="F412" i="5"/>
  <c r="F411" i="5"/>
  <c r="F410" i="5"/>
  <c r="F409" i="5"/>
  <c r="F408" i="5"/>
  <c r="F407" i="5"/>
  <c r="F406" i="5"/>
  <c r="F405" i="5"/>
  <c r="F404" i="5"/>
  <c r="F403" i="5"/>
  <c r="Q402" i="5"/>
  <c r="O402" i="5"/>
  <c r="H402" i="5"/>
  <c r="F402" i="5" s="1"/>
  <c r="Q401" i="5"/>
  <c r="O401" i="5"/>
  <c r="F401" i="5"/>
  <c r="Q400" i="5"/>
  <c r="O400" i="5"/>
  <c r="F400" i="5"/>
  <c r="Q399" i="5"/>
  <c r="F399" i="5"/>
  <c r="O399" i="5" s="1"/>
  <c r="Q398" i="5"/>
  <c r="O398" i="5"/>
  <c r="F398" i="5"/>
  <c r="Q397" i="5"/>
  <c r="O397" i="5"/>
  <c r="F397" i="5"/>
  <c r="Q396" i="5"/>
  <c r="O396" i="5"/>
  <c r="F396" i="5"/>
  <c r="Q395" i="5"/>
  <c r="F395" i="5"/>
  <c r="O395" i="5" s="1"/>
  <c r="Q394" i="5"/>
  <c r="F394" i="5"/>
  <c r="O394" i="5" s="1"/>
  <c r="Q393" i="5"/>
  <c r="O393" i="5"/>
  <c r="F393" i="5"/>
  <c r="Q392" i="5"/>
  <c r="F392" i="5"/>
  <c r="O392" i="5" s="1"/>
  <c r="Q391" i="5"/>
  <c r="F391" i="5"/>
  <c r="O391" i="5" s="1"/>
  <c r="Q390" i="5"/>
  <c r="F390" i="5"/>
  <c r="O390" i="5" s="1"/>
  <c r="Q389" i="5"/>
  <c r="O389" i="5"/>
  <c r="F389" i="5"/>
  <c r="F388" i="5"/>
  <c r="F387" i="5"/>
  <c r="F386" i="5"/>
  <c r="H385" i="5"/>
  <c r="F385" i="5"/>
  <c r="F384" i="5"/>
  <c r="F383" i="5"/>
  <c r="F382" i="5"/>
  <c r="F381" i="5"/>
  <c r="F380" i="5"/>
  <c r="F379" i="5"/>
  <c r="H378" i="5"/>
  <c r="Q378" i="5" s="1"/>
  <c r="F378" i="5"/>
  <c r="O378" i="5" s="1"/>
  <c r="Q377" i="5"/>
  <c r="F377" i="5"/>
  <c r="O377" i="5" s="1"/>
  <c r="H376" i="5"/>
  <c r="F375" i="5"/>
  <c r="F374" i="5"/>
  <c r="Q372" i="5"/>
  <c r="F372" i="5"/>
  <c r="O372" i="5" s="1"/>
  <c r="F369" i="5"/>
  <c r="Q368" i="5"/>
  <c r="F368" i="5"/>
  <c r="O368" i="5" s="1"/>
  <c r="Q367" i="5"/>
  <c r="O367" i="5"/>
  <c r="F367" i="5"/>
  <c r="Q366" i="5"/>
  <c r="O366" i="5"/>
  <c r="F366" i="5"/>
  <c r="Q365" i="5"/>
  <c r="F365" i="5"/>
  <c r="O365" i="5" s="1"/>
  <c r="Q364" i="5"/>
  <c r="F364" i="5"/>
  <c r="O364" i="5" s="1"/>
  <c r="Q363" i="5"/>
  <c r="O363" i="5"/>
  <c r="F363" i="5"/>
  <c r="Q362" i="5"/>
  <c r="F362" i="5"/>
  <c r="O362" i="5" s="1"/>
  <c r="Q361" i="5"/>
  <c r="F361" i="5"/>
  <c r="O361" i="5" s="1"/>
  <c r="Q360" i="5"/>
  <c r="F360" i="5"/>
  <c r="O360" i="5" s="1"/>
  <c r="Q359" i="5"/>
  <c r="O359" i="5"/>
  <c r="F359" i="5"/>
  <c r="Q358" i="5"/>
  <c r="O358" i="5"/>
  <c r="F358" i="5"/>
  <c r="Q357" i="5"/>
  <c r="F357" i="5"/>
  <c r="O357" i="5" s="1"/>
  <c r="Q356" i="5"/>
  <c r="H356" i="5"/>
  <c r="F356" i="5"/>
  <c r="O356" i="5" s="1"/>
  <c r="Q355" i="5"/>
  <c r="F355" i="5"/>
  <c r="O355" i="5" s="1"/>
  <c r="Q354" i="5"/>
  <c r="O354" i="5"/>
  <c r="F354" i="5"/>
  <c r="H353" i="5"/>
  <c r="H352" i="5"/>
  <c r="Q351" i="5"/>
  <c r="F351" i="5"/>
  <c r="O351" i="5" s="1"/>
  <c r="Q350" i="5"/>
  <c r="F350" i="5"/>
  <c r="O350" i="5" s="1"/>
  <c r="Q349" i="5"/>
  <c r="F349" i="5"/>
  <c r="O349" i="5" s="1"/>
  <c r="Q348" i="5"/>
  <c r="O348" i="5"/>
  <c r="H348" i="5"/>
  <c r="F348" i="5"/>
  <c r="Q347" i="5"/>
  <c r="O347" i="5"/>
  <c r="F347" i="5"/>
  <c r="H346" i="5"/>
  <c r="H345" i="5"/>
  <c r="H344" i="5"/>
  <c r="Q343" i="5"/>
  <c r="F343" i="5"/>
  <c r="O343" i="5" s="1"/>
  <c r="O342" i="5"/>
  <c r="H342" i="5"/>
  <c r="Q342" i="5" s="1"/>
  <c r="F342" i="5"/>
  <c r="Q341" i="5"/>
  <c r="O341" i="5"/>
  <c r="F341" i="5"/>
  <c r="Q340" i="5"/>
  <c r="F340" i="5"/>
  <c r="O340" i="5" s="1"/>
  <c r="Q339" i="5"/>
  <c r="F339" i="5"/>
  <c r="O339" i="5" s="1"/>
  <c r="Q338" i="5"/>
  <c r="F338" i="5"/>
  <c r="O338" i="5" s="1"/>
  <c r="Q337" i="5"/>
  <c r="O337" i="5"/>
  <c r="F337" i="5"/>
  <c r="H336" i="5"/>
  <c r="Q335" i="5"/>
  <c r="F335" i="5"/>
  <c r="O335" i="5" s="1"/>
  <c r="Q334" i="5"/>
  <c r="F334" i="5"/>
  <c r="O334" i="5" s="1"/>
  <c r="Q333" i="5"/>
  <c r="F333" i="5"/>
  <c r="O333" i="5" s="1"/>
  <c r="Q332" i="5"/>
  <c r="O332" i="5"/>
  <c r="H332" i="5"/>
  <c r="F332" i="5"/>
  <c r="Q331" i="5"/>
  <c r="O331" i="5"/>
  <c r="H331" i="5"/>
  <c r="F331" i="5"/>
  <c r="Q330" i="5"/>
  <c r="O330" i="5"/>
  <c r="F330" i="5"/>
  <c r="H329" i="5"/>
  <c r="Q327" i="5"/>
  <c r="O327" i="5"/>
  <c r="F327" i="5"/>
  <c r="Q326" i="5"/>
  <c r="F326" i="5"/>
  <c r="O326" i="5" s="1"/>
  <c r="Q325" i="5"/>
  <c r="H325" i="5"/>
  <c r="F325" i="5"/>
  <c r="O325" i="5" s="1"/>
  <c r="Q324" i="5"/>
  <c r="H324" i="5"/>
  <c r="F324" i="5"/>
  <c r="O324" i="5" s="1"/>
  <c r="Q323" i="5"/>
  <c r="H323" i="5"/>
  <c r="F323" i="5"/>
  <c r="O323" i="5" s="1"/>
  <c r="Q322" i="5"/>
  <c r="F322" i="5"/>
  <c r="O322" i="5" s="1"/>
  <c r="Q321" i="5"/>
  <c r="O321" i="5"/>
  <c r="H321" i="5"/>
  <c r="F321" i="5"/>
  <c r="Q320" i="5"/>
  <c r="O320" i="5"/>
  <c r="H320" i="5"/>
  <c r="F320" i="5"/>
  <c r="Q319" i="5"/>
  <c r="O319" i="5"/>
  <c r="F319" i="5"/>
  <c r="H318" i="5"/>
  <c r="F318" i="5" s="1"/>
  <c r="O318" i="5" s="1"/>
  <c r="Q317" i="5"/>
  <c r="F317" i="5"/>
  <c r="O317" i="5" s="1"/>
  <c r="Q316" i="5"/>
  <c r="O316" i="5"/>
  <c r="F316" i="5"/>
  <c r="H315" i="5"/>
  <c r="F315" i="5" s="1"/>
  <c r="O315" i="5" s="1"/>
  <c r="Q314" i="5"/>
  <c r="F314" i="5"/>
  <c r="O314" i="5" s="1"/>
  <c r="Q313" i="5"/>
  <c r="O313" i="5"/>
  <c r="F313" i="5"/>
  <c r="O312" i="5"/>
  <c r="H312" i="5"/>
  <c r="F312" i="5" s="1"/>
  <c r="Q311" i="5"/>
  <c r="F311" i="5"/>
  <c r="O311" i="5" s="1"/>
  <c r="Q310" i="5"/>
  <c r="F310" i="5"/>
  <c r="O310" i="5" s="1"/>
  <c r="Q309" i="5"/>
  <c r="F309" i="5"/>
  <c r="O309" i="5" s="1"/>
  <c r="Q308" i="5"/>
  <c r="O308" i="5"/>
  <c r="F308" i="5"/>
  <c r="Q307" i="5"/>
  <c r="F307" i="5"/>
  <c r="O307" i="5" s="1"/>
  <c r="Q306" i="5"/>
  <c r="O306" i="5"/>
  <c r="F306" i="5"/>
  <c r="Q305" i="5"/>
  <c r="F305" i="5"/>
  <c r="O305" i="5" s="1"/>
  <c r="Q304" i="5"/>
  <c r="H304" i="5"/>
  <c r="F304" i="5"/>
  <c r="O304" i="5" s="1"/>
  <c r="Q303" i="5"/>
  <c r="O303" i="5"/>
  <c r="F303" i="5"/>
  <c r="Q302" i="5"/>
  <c r="O302" i="5"/>
  <c r="H302" i="5"/>
  <c r="F302" i="5" s="1"/>
  <c r="Q301" i="5"/>
  <c r="O301" i="5"/>
  <c r="F301" i="5"/>
  <c r="H300" i="5"/>
  <c r="Q300" i="5" s="1"/>
  <c r="F300" i="5"/>
  <c r="O300" i="5" s="1"/>
  <c r="Q299" i="5"/>
  <c r="F299" i="5"/>
  <c r="O299" i="5" s="1"/>
  <c r="Q298" i="5"/>
  <c r="F298" i="5"/>
  <c r="O298" i="5" s="1"/>
  <c r="Q297" i="5"/>
  <c r="O297" i="5"/>
  <c r="F297" i="5"/>
  <c r="Q296" i="5"/>
  <c r="F296" i="5"/>
  <c r="O296" i="5" s="1"/>
  <c r="Q295" i="5"/>
  <c r="O295" i="5"/>
  <c r="F295" i="5"/>
  <c r="Q294" i="5"/>
  <c r="F294" i="5"/>
  <c r="O294" i="5" s="1"/>
  <c r="Q293" i="5"/>
  <c r="O293" i="5"/>
  <c r="F293" i="5"/>
  <c r="Q291" i="5"/>
  <c r="O291" i="5"/>
  <c r="F291" i="5"/>
  <c r="Q290" i="5"/>
  <c r="F290" i="5"/>
  <c r="O290" i="5" s="1"/>
  <c r="Q289" i="5"/>
  <c r="F289" i="5"/>
  <c r="O289" i="5" s="1"/>
  <c r="Q286" i="5"/>
  <c r="O286" i="5"/>
  <c r="F286" i="5"/>
  <c r="Q285" i="5"/>
  <c r="O285" i="5"/>
  <c r="F285" i="5"/>
  <c r="Q284" i="5"/>
  <c r="O284" i="5"/>
  <c r="F284" i="5"/>
  <c r="Q283" i="5"/>
  <c r="F283" i="5"/>
  <c r="O283" i="5" s="1"/>
  <c r="Q282" i="5"/>
  <c r="O282" i="5"/>
  <c r="F282" i="5"/>
  <c r="Q281" i="5"/>
  <c r="O281" i="5"/>
  <c r="F281" i="5"/>
  <c r="H280" i="5"/>
  <c r="Q280" i="5" s="1"/>
  <c r="F280" i="5"/>
  <c r="O280" i="5" s="1"/>
  <c r="F279" i="5"/>
  <c r="F278" i="5"/>
  <c r="F277" i="5"/>
  <c r="F276" i="5"/>
  <c r="F275" i="5"/>
  <c r="F274" i="5"/>
  <c r="F273" i="5"/>
  <c r="F272" i="5"/>
  <c r="F271" i="5"/>
  <c r="H270" i="5"/>
  <c r="F270" i="5" s="1"/>
  <c r="O270" i="5" s="1"/>
  <c r="Q269" i="5"/>
  <c r="F269" i="5"/>
  <c r="O269" i="5" s="1"/>
  <c r="F268" i="5"/>
  <c r="F267" i="5"/>
  <c r="F266" i="5"/>
  <c r="F265" i="5"/>
  <c r="F264" i="5"/>
  <c r="Q263" i="5"/>
  <c r="H263" i="5"/>
  <c r="F263" i="5" s="1"/>
  <c r="O263" i="5" s="1"/>
  <c r="Q262" i="5"/>
  <c r="O262" i="5"/>
  <c r="F262" i="5"/>
  <c r="Q261" i="5"/>
  <c r="O261" i="5"/>
  <c r="F261" i="5"/>
  <c r="Q260" i="5"/>
  <c r="F260" i="5"/>
  <c r="O260" i="5" s="1"/>
  <c r="Q259" i="5"/>
  <c r="O259" i="5"/>
  <c r="F259" i="5"/>
  <c r="Q258" i="5"/>
  <c r="O258" i="5"/>
  <c r="F258" i="5"/>
  <c r="Q257" i="5"/>
  <c r="F257" i="5"/>
  <c r="O257" i="5" s="1"/>
  <c r="F256" i="5"/>
  <c r="F255" i="5"/>
  <c r="F254" i="5"/>
  <c r="Q253" i="5"/>
  <c r="O253" i="5"/>
  <c r="H253" i="5"/>
  <c r="F253" i="5"/>
  <c r="Q252" i="5"/>
  <c r="O252" i="5"/>
  <c r="H252" i="5"/>
  <c r="F252" i="5"/>
  <c r="Q251" i="5"/>
  <c r="O251" i="5"/>
  <c r="F251" i="5"/>
  <c r="Q250" i="5"/>
  <c r="O250" i="5"/>
  <c r="F250" i="5"/>
  <c r="Q249" i="5"/>
  <c r="F249" i="5"/>
  <c r="O249" i="5" s="1"/>
  <c r="Q248" i="5"/>
  <c r="F248" i="5"/>
  <c r="O248" i="5" s="1"/>
  <c r="Q247" i="5"/>
  <c r="O247" i="5"/>
  <c r="F247" i="5"/>
  <c r="Q246" i="5"/>
  <c r="F246" i="5"/>
  <c r="O246" i="5" s="1"/>
  <c r="Q245" i="5"/>
  <c r="F245" i="5"/>
  <c r="O245" i="5" s="1"/>
  <c r="F244" i="5"/>
  <c r="F243" i="5"/>
  <c r="Q242" i="5"/>
  <c r="F242" i="5"/>
  <c r="O242" i="5" s="1"/>
  <c r="O241" i="5"/>
  <c r="H241" i="5"/>
  <c r="F241" i="5"/>
  <c r="Q240" i="5"/>
  <c r="O240" i="5"/>
  <c r="F240" i="5"/>
  <c r="Q239" i="5"/>
  <c r="F239" i="5"/>
  <c r="O239" i="5" s="1"/>
  <c r="Q237" i="5"/>
  <c r="O237" i="5"/>
  <c r="F237" i="5"/>
  <c r="H235" i="5"/>
  <c r="H231" i="5" s="1"/>
  <c r="F235" i="5"/>
  <c r="F234" i="5"/>
  <c r="F233" i="5"/>
  <c r="F232" i="5"/>
  <c r="Q231" i="5"/>
  <c r="O231" i="5"/>
  <c r="F231" i="5"/>
  <c r="Q230" i="5"/>
  <c r="O230" i="5"/>
  <c r="F230" i="5"/>
  <c r="F229" i="5"/>
  <c r="Q228" i="5"/>
  <c r="O228" i="5"/>
  <c r="F228" i="5"/>
  <c r="Q227" i="5"/>
  <c r="F227" i="5"/>
  <c r="O227" i="5" s="1"/>
  <c r="Q226" i="5"/>
  <c r="O226" i="5"/>
  <c r="F226" i="5"/>
  <c r="H225" i="5"/>
  <c r="H223" i="5" s="1"/>
  <c r="F223" i="5" s="1"/>
  <c r="O223" i="5" s="1"/>
  <c r="Q224" i="5"/>
  <c r="F224" i="5"/>
  <c r="O224" i="5" s="1"/>
  <c r="Q223" i="5"/>
  <c r="Q222" i="5"/>
  <c r="O222" i="5"/>
  <c r="F222" i="5"/>
  <c r="H221" i="5"/>
  <c r="F221" i="5" s="1"/>
  <c r="O221" i="5" s="1"/>
  <c r="Q220" i="5"/>
  <c r="H220" i="5"/>
  <c r="F220" i="5" s="1"/>
  <c r="O220" i="5" s="1"/>
  <c r="Q218" i="5"/>
  <c r="O218" i="5"/>
  <c r="F218" i="5"/>
  <c r="Q217" i="5"/>
  <c r="F217" i="5"/>
  <c r="O217" i="5" s="1"/>
  <c r="Q216" i="5"/>
  <c r="F216" i="5"/>
  <c r="O216" i="5" s="1"/>
  <c r="Q215" i="5"/>
  <c r="O215" i="5"/>
  <c r="H215" i="5"/>
  <c r="F215" i="5"/>
  <c r="Q214" i="5"/>
  <c r="O214" i="5"/>
  <c r="F214" i="5"/>
  <c r="H213" i="5"/>
  <c r="F213" i="5" s="1"/>
  <c r="O213" i="5" s="1"/>
  <c r="Q211" i="5"/>
  <c r="O211" i="5"/>
  <c r="H211" i="5"/>
  <c r="F211" i="5" s="1"/>
  <c r="O210" i="5"/>
  <c r="H210" i="5"/>
  <c r="F210" i="5" s="1"/>
  <c r="H209" i="5"/>
  <c r="F209" i="5" s="1"/>
  <c r="O209" i="5" s="1"/>
  <c r="Q208" i="5"/>
  <c r="F208" i="5"/>
  <c r="O208" i="5" s="1"/>
  <c r="Q207" i="5"/>
  <c r="O207" i="5"/>
  <c r="F207" i="5"/>
  <c r="F206" i="5"/>
  <c r="Q203" i="5"/>
  <c r="F203" i="5"/>
  <c r="O203" i="5" s="1"/>
  <c r="Q202" i="5"/>
  <c r="F202" i="5"/>
  <c r="O202" i="5" s="1"/>
  <c r="Q201" i="5"/>
  <c r="O201" i="5"/>
  <c r="F201" i="5"/>
  <c r="Q200" i="5"/>
  <c r="F200" i="5"/>
  <c r="O200" i="5" s="1"/>
  <c r="Q199" i="5"/>
  <c r="F199" i="5"/>
  <c r="O199" i="5" s="1"/>
  <c r="Q198" i="5"/>
  <c r="F198" i="5"/>
  <c r="O198" i="5" s="1"/>
  <c r="Q197" i="5"/>
  <c r="O197" i="5"/>
  <c r="F197" i="5"/>
  <c r="Q196" i="5"/>
  <c r="H196" i="5"/>
  <c r="F196" i="5" s="1"/>
  <c r="O196" i="5" s="1"/>
  <c r="Q195" i="5"/>
  <c r="O195" i="5"/>
  <c r="F195" i="5"/>
  <c r="H194" i="5"/>
  <c r="Q194" i="5" s="1"/>
  <c r="Q192" i="5"/>
  <c r="F192" i="5"/>
  <c r="O192" i="5" s="1"/>
  <c r="Q191" i="5"/>
  <c r="F191" i="5"/>
  <c r="O191" i="5" s="1"/>
  <c r="Q190" i="5"/>
  <c r="O190" i="5"/>
  <c r="F190" i="5"/>
  <c r="Q189" i="5"/>
  <c r="F189" i="5"/>
  <c r="O189" i="5" s="1"/>
  <c r="Q188" i="5"/>
  <c r="O188" i="5"/>
  <c r="F188" i="5"/>
  <c r="Q187" i="5"/>
  <c r="F187" i="5"/>
  <c r="O187" i="5" s="1"/>
  <c r="Q186" i="5"/>
  <c r="O186" i="5"/>
  <c r="F186" i="5"/>
  <c r="Q185" i="5"/>
  <c r="O185" i="5"/>
  <c r="F185" i="5"/>
  <c r="Q184" i="5"/>
  <c r="O184" i="5"/>
  <c r="F184" i="5"/>
  <c r="Q183" i="5"/>
  <c r="F183" i="5"/>
  <c r="O183" i="5" s="1"/>
  <c r="Q182" i="5"/>
  <c r="O182" i="5"/>
  <c r="F182" i="5"/>
  <c r="O181" i="5"/>
  <c r="H181" i="5"/>
  <c r="F181" i="5" s="1"/>
  <c r="Q180" i="5"/>
  <c r="F180" i="5"/>
  <c r="O180" i="5" s="1"/>
  <c r="Q179" i="5"/>
  <c r="F179" i="5"/>
  <c r="O179" i="5" s="1"/>
  <c r="Q178" i="5"/>
  <c r="F178" i="5"/>
  <c r="O178" i="5" s="1"/>
  <c r="Q177" i="5"/>
  <c r="O177" i="5"/>
  <c r="F177" i="5"/>
  <c r="Q176" i="5"/>
  <c r="F176" i="5"/>
  <c r="O176" i="5" s="1"/>
  <c r="Q175" i="5"/>
  <c r="O175" i="5"/>
  <c r="F175" i="5"/>
  <c r="Q174" i="5"/>
  <c r="F174" i="5"/>
  <c r="O174" i="5" s="1"/>
  <c r="Q173" i="5"/>
  <c r="O173" i="5"/>
  <c r="F173" i="5"/>
  <c r="Q172" i="5"/>
  <c r="O172" i="5"/>
  <c r="F172" i="5"/>
  <c r="Q171" i="5"/>
  <c r="O171" i="5"/>
  <c r="F171" i="5"/>
  <c r="Q170" i="5"/>
  <c r="F170" i="5"/>
  <c r="O170" i="5" s="1"/>
  <c r="Q169" i="5"/>
  <c r="O169" i="5"/>
  <c r="F169" i="5"/>
  <c r="O168" i="5"/>
  <c r="H168" i="5"/>
  <c r="F168" i="5" s="1"/>
  <c r="H167" i="5"/>
  <c r="Q166" i="5"/>
  <c r="H166" i="5"/>
  <c r="F166" i="5" s="1"/>
  <c r="O166" i="5" s="1"/>
  <c r="Q165" i="5"/>
  <c r="O165" i="5"/>
  <c r="F165" i="5"/>
  <c r="H164" i="5"/>
  <c r="H163" i="5"/>
  <c r="Q163" i="5" s="1"/>
  <c r="F163" i="5"/>
  <c r="O163" i="5" s="1"/>
  <c r="O162" i="5"/>
  <c r="H162" i="5"/>
  <c r="Q162" i="5" s="1"/>
  <c r="F162" i="5"/>
  <c r="H161" i="5"/>
  <c r="Q161" i="5" s="1"/>
  <c r="H160" i="5"/>
  <c r="H159" i="5"/>
  <c r="H158" i="5"/>
  <c r="H157" i="5" s="1"/>
  <c r="Q156" i="5"/>
  <c r="F156" i="5"/>
  <c r="O156" i="5" s="1"/>
  <c r="Q155" i="5"/>
  <c r="F155" i="5"/>
  <c r="O155" i="5" s="1"/>
  <c r="Q154" i="5"/>
  <c r="O154" i="5"/>
  <c r="F154" i="5"/>
  <c r="Q153" i="5"/>
  <c r="O153" i="5"/>
  <c r="F153" i="5"/>
  <c r="Q152" i="5"/>
  <c r="F152" i="5"/>
  <c r="O152" i="5" s="1"/>
  <c r="Q151" i="5"/>
  <c r="F151" i="5"/>
  <c r="O151" i="5" s="1"/>
  <c r="Q150" i="5"/>
  <c r="O150" i="5"/>
  <c r="F150" i="5"/>
  <c r="Q149" i="5"/>
  <c r="O149" i="5"/>
  <c r="F149" i="5"/>
  <c r="Q148" i="5"/>
  <c r="F148" i="5"/>
  <c r="O148" i="5" s="1"/>
  <c r="Q147" i="5"/>
  <c r="F147" i="5"/>
  <c r="O147" i="5" s="1"/>
  <c r="Q146" i="5"/>
  <c r="O146" i="5"/>
  <c r="F146" i="5"/>
  <c r="Q145" i="5"/>
  <c r="O145" i="5"/>
  <c r="F145" i="5"/>
  <c r="Q144" i="5"/>
  <c r="F144" i="5"/>
  <c r="O144" i="5" s="1"/>
  <c r="Q143" i="5"/>
  <c r="F143" i="5"/>
  <c r="O143" i="5" s="1"/>
  <c r="Q142" i="5"/>
  <c r="O142" i="5"/>
  <c r="F142" i="5"/>
  <c r="Q141" i="5"/>
  <c r="O141" i="5"/>
  <c r="F141" i="5"/>
  <c r="Q140" i="5"/>
  <c r="F140" i="5"/>
  <c r="O140" i="5" s="1"/>
  <c r="Q139" i="5"/>
  <c r="H139" i="5"/>
  <c r="F139" i="5"/>
  <c r="O139" i="5" s="1"/>
  <c r="Q138" i="5"/>
  <c r="F138" i="5"/>
  <c r="O138" i="5" s="1"/>
  <c r="Q137" i="5"/>
  <c r="O137" i="5"/>
  <c r="H137" i="5"/>
  <c r="F137" i="5"/>
  <c r="Q136" i="5"/>
  <c r="O136" i="5"/>
  <c r="H136" i="5"/>
  <c r="F136" i="5"/>
  <c r="Q135" i="5"/>
  <c r="O135" i="5"/>
  <c r="H135" i="5"/>
  <c r="F135" i="5"/>
  <c r="Q134" i="5"/>
  <c r="O134" i="5"/>
  <c r="H134" i="5"/>
  <c r="F134" i="5"/>
  <c r="Q133" i="5"/>
  <c r="O133" i="5"/>
  <c r="H133" i="5"/>
  <c r="F133" i="5"/>
  <c r="Q132" i="5"/>
  <c r="O132" i="5"/>
  <c r="H132" i="5"/>
  <c r="F132" i="5"/>
  <c r="Q131" i="5"/>
  <c r="O131" i="5"/>
  <c r="H131" i="5"/>
  <c r="F131" i="5"/>
  <c r="Q130" i="5"/>
  <c r="O130" i="5"/>
  <c r="H130" i="5"/>
  <c r="F130" i="5"/>
  <c r="Q129" i="5"/>
  <c r="O129" i="5"/>
  <c r="H129" i="5"/>
  <c r="F129" i="5"/>
  <c r="Q128" i="5"/>
  <c r="O128" i="5"/>
  <c r="H128" i="5"/>
  <c r="F128" i="5"/>
  <c r="Q127" i="5"/>
  <c r="O127" i="5"/>
  <c r="H127" i="5"/>
  <c r="F127" i="5"/>
  <c r="Q126" i="5"/>
  <c r="O126" i="5"/>
  <c r="H126" i="5"/>
  <c r="F126" i="5"/>
  <c r="F125" i="5"/>
  <c r="Q124" i="5"/>
  <c r="H124" i="5"/>
  <c r="F124" i="5"/>
  <c r="O124" i="5" s="1"/>
  <c r="Q123" i="5"/>
  <c r="H123" i="5"/>
  <c r="F123" i="5"/>
  <c r="O123" i="5" s="1"/>
  <c r="Q122" i="5"/>
  <c r="F122" i="5"/>
  <c r="O122" i="5" s="1"/>
  <c r="Q121" i="5"/>
  <c r="O121" i="5"/>
  <c r="H121" i="5"/>
  <c r="F121" i="5"/>
  <c r="Q120" i="5"/>
  <c r="O120" i="5"/>
  <c r="F120" i="5"/>
  <c r="Q119" i="5"/>
  <c r="O119" i="5"/>
  <c r="F119" i="5"/>
  <c r="Q118" i="5"/>
  <c r="F118" i="5"/>
  <c r="O118" i="5" s="1"/>
  <c r="Q117" i="5"/>
  <c r="F117" i="5"/>
  <c r="O117" i="5" s="1"/>
  <c r="Q116" i="5"/>
  <c r="O116" i="5"/>
  <c r="H116" i="5"/>
  <c r="F116" i="5"/>
  <c r="Q115" i="5"/>
  <c r="O115" i="5"/>
  <c r="H115" i="5"/>
  <c r="F115" i="5"/>
  <c r="Q114" i="5"/>
  <c r="O114" i="5"/>
  <c r="F114" i="5"/>
  <c r="H113" i="5"/>
  <c r="Q111" i="5"/>
  <c r="O111" i="5"/>
  <c r="F111" i="5"/>
  <c r="Q110" i="5"/>
  <c r="F110" i="5"/>
  <c r="O110" i="5" s="1"/>
  <c r="Q109" i="5"/>
  <c r="F109" i="5"/>
  <c r="O109" i="5" s="1"/>
  <c r="Q108" i="5"/>
  <c r="O108" i="5"/>
  <c r="F108" i="5"/>
  <c r="Q107" i="5"/>
  <c r="F107" i="5"/>
  <c r="O107" i="5" s="1"/>
  <c r="Q106" i="5"/>
  <c r="F106" i="5"/>
  <c r="O106" i="5" s="1"/>
  <c r="Q105" i="5"/>
  <c r="F105" i="5"/>
  <c r="O105" i="5" s="1"/>
  <c r="Q104" i="5"/>
  <c r="O104" i="5"/>
  <c r="F104" i="5"/>
  <c r="Q103" i="5"/>
  <c r="O103" i="5"/>
  <c r="F103" i="5"/>
  <c r="Q102" i="5"/>
  <c r="F102" i="5"/>
  <c r="O102" i="5" s="1"/>
  <c r="Q101" i="5"/>
  <c r="F101" i="5"/>
  <c r="O101" i="5" s="1"/>
  <c r="Q100" i="5"/>
  <c r="O100" i="5"/>
  <c r="F100" i="5"/>
  <c r="Q99" i="5"/>
  <c r="F99" i="5"/>
  <c r="O99" i="5" s="1"/>
  <c r="Q98" i="5"/>
  <c r="F98" i="5"/>
  <c r="O98" i="5" s="1"/>
  <c r="Q97" i="5"/>
  <c r="F97" i="5"/>
  <c r="O97" i="5" s="1"/>
  <c r="Q96" i="5"/>
  <c r="O96" i="5"/>
  <c r="F96" i="5"/>
  <c r="Q95" i="5"/>
  <c r="O95" i="5"/>
  <c r="F95" i="5"/>
  <c r="Q94" i="5"/>
  <c r="F94" i="5"/>
  <c r="O94" i="5" s="1"/>
  <c r="Q93" i="5"/>
  <c r="F93" i="5"/>
  <c r="O93" i="5" s="1"/>
  <c r="Q92" i="5"/>
  <c r="O92" i="5"/>
  <c r="F92" i="5"/>
  <c r="Q91" i="5"/>
  <c r="F91" i="5"/>
  <c r="O91" i="5" s="1"/>
  <c r="Q90" i="5"/>
  <c r="F90" i="5"/>
  <c r="O90" i="5" s="1"/>
  <c r="Q89" i="5"/>
  <c r="F89" i="5"/>
  <c r="O89" i="5" s="1"/>
  <c r="Q88" i="5"/>
  <c r="O88" i="5"/>
  <c r="F88" i="5"/>
  <c r="H87" i="5"/>
  <c r="H86" i="5"/>
  <c r="Q85" i="5"/>
  <c r="O85" i="5"/>
  <c r="F85" i="5"/>
  <c r="Q84" i="5"/>
  <c r="F84" i="5"/>
  <c r="O84" i="5" s="1"/>
  <c r="Q83" i="5"/>
  <c r="F83" i="5"/>
  <c r="O83" i="5" s="1"/>
  <c r="Q82" i="5"/>
  <c r="O82" i="5"/>
  <c r="F82" i="5"/>
  <c r="H81" i="5"/>
  <c r="Q80" i="5"/>
  <c r="O80" i="5"/>
  <c r="F80" i="5"/>
  <c r="H79" i="5"/>
  <c r="Q79" i="5" s="1"/>
  <c r="F79" i="5"/>
  <c r="O79" i="5" s="1"/>
  <c r="H78" i="5"/>
  <c r="Q78" i="5" s="1"/>
  <c r="H77" i="5"/>
  <c r="Q77" i="5" s="1"/>
  <c r="F77" i="5"/>
  <c r="O77" i="5" s="1"/>
  <c r="H76" i="5"/>
  <c r="Q76" i="5" s="1"/>
  <c r="Q74" i="5"/>
  <c r="F74" i="5"/>
  <c r="O74" i="5" s="1"/>
  <c r="Q73" i="5"/>
  <c r="F73" i="5"/>
  <c r="O73" i="5" s="1"/>
  <c r="Q72" i="5"/>
  <c r="O72" i="5"/>
  <c r="F72" i="5"/>
  <c r="H71" i="5"/>
  <c r="Q70" i="5"/>
  <c r="F70" i="5"/>
  <c r="O70" i="5" s="1"/>
  <c r="Q69" i="5"/>
  <c r="F69" i="5"/>
  <c r="O69" i="5" s="1"/>
  <c r="Q68" i="5"/>
  <c r="F68" i="5"/>
  <c r="O68" i="5" s="1"/>
  <c r="Q67" i="5"/>
  <c r="O67" i="5"/>
  <c r="F67" i="5"/>
  <c r="Q66" i="5"/>
  <c r="O66" i="5"/>
  <c r="F66" i="5"/>
  <c r="Q65" i="5"/>
  <c r="F65" i="5"/>
  <c r="O65" i="5" s="1"/>
  <c r="Q64" i="5"/>
  <c r="F64" i="5"/>
  <c r="O64" i="5" s="1"/>
  <c r="Q63" i="5"/>
  <c r="O63" i="5"/>
  <c r="F63" i="5"/>
  <c r="Q62" i="5"/>
  <c r="F62" i="5"/>
  <c r="O62" i="5" s="1"/>
  <c r="H61" i="5"/>
  <c r="Q61" i="5" s="1"/>
  <c r="Q60" i="5"/>
  <c r="F60" i="5"/>
  <c r="O60" i="5" s="1"/>
  <c r="Q59" i="5"/>
  <c r="H59" i="5"/>
  <c r="F59" i="5"/>
  <c r="O59" i="5" s="1"/>
  <c r="Q58" i="5"/>
  <c r="F58" i="5"/>
  <c r="O58" i="5" s="1"/>
  <c r="Q57" i="5"/>
  <c r="O57" i="5"/>
  <c r="H57" i="5"/>
  <c r="F57" i="5"/>
  <c r="Q56" i="5"/>
  <c r="O56" i="5"/>
  <c r="F56" i="5"/>
  <c r="H55" i="5"/>
  <c r="Q54" i="5"/>
  <c r="F54" i="5"/>
  <c r="O54" i="5" s="1"/>
  <c r="H53" i="5"/>
  <c r="Q53" i="5" s="1"/>
  <c r="H52" i="5"/>
  <c r="Q52" i="5" s="1"/>
  <c r="F52" i="5"/>
  <c r="O52" i="5" s="1"/>
  <c r="H51" i="5"/>
  <c r="Q51" i="5" s="1"/>
  <c r="Q50" i="5"/>
  <c r="F50" i="5"/>
  <c r="O50" i="5" s="1"/>
  <c r="Q49" i="5"/>
  <c r="F49" i="5"/>
  <c r="O49" i="5" s="1"/>
  <c r="Q48" i="5"/>
  <c r="O48" i="5"/>
  <c r="F48" i="5"/>
  <c r="H47" i="5"/>
  <c r="H46" i="5"/>
  <c r="H45" i="5"/>
  <c r="H44" i="5"/>
  <c r="H43" i="5"/>
  <c r="Q42" i="5"/>
  <c r="O42" i="5"/>
  <c r="F42" i="5"/>
  <c r="H41" i="5"/>
  <c r="Q41" i="5" s="1"/>
  <c r="F41" i="5"/>
  <c r="O41" i="5" s="1"/>
  <c r="H40" i="5"/>
  <c r="Q40" i="5" s="1"/>
  <c r="H39" i="5"/>
  <c r="Q39" i="5" s="1"/>
  <c r="F39" i="5"/>
  <c r="O39" i="5" s="1"/>
  <c r="Q38" i="5"/>
  <c r="F38" i="5"/>
  <c r="O38" i="5" s="1"/>
  <c r="Q37" i="5"/>
  <c r="F37" i="5"/>
  <c r="O37" i="5" s="1"/>
  <c r="Q36" i="5"/>
  <c r="O36" i="5"/>
  <c r="F36" i="5"/>
  <c r="H35" i="5"/>
  <c r="H34" i="5"/>
  <c r="H33" i="5"/>
  <c r="H32" i="5"/>
  <c r="Q31" i="5"/>
  <c r="O31" i="5"/>
  <c r="H31" i="5"/>
  <c r="F31" i="5" s="1"/>
  <c r="Q30" i="5"/>
  <c r="O30" i="5"/>
  <c r="H30" i="5"/>
  <c r="F30" i="5" s="1"/>
  <c r="H29" i="5"/>
  <c r="F29" i="5" s="1"/>
  <c r="O29" i="5" s="1"/>
  <c r="H28" i="5"/>
  <c r="F28" i="5" s="1"/>
  <c r="O28" i="5" s="1"/>
  <c r="Q27" i="5"/>
  <c r="O27" i="5"/>
  <c r="H27" i="5"/>
  <c r="F27" i="5" s="1"/>
  <c r="Q26" i="5"/>
  <c r="O26" i="5"/>
  <c r="H26" i="5"/>
  <c r="F26" i="5" s="1"/>
  <c r="Q25" i="5"/>
  <c r="F25" i="5"/>
  <c r="O25" i="5" s="1"/>
  <c r="H24" i="5"/>
  <c r="Q24" i="5" s="1"/>
  <c r="F24" i="5"/>
  <c r="O24" i="5" s="1"/>
  <c r="H23" i="5"/>
  <c r="Q23" i="5" s="1"/>
  <c r="H22" i="5"/>
  <c r="Q22" i="5" s="1"/>
  <c r="H19" i="5"/>
  <c r="Q19" i="5" s="1"/>
  <c r="Q18" i="5"/>
  <c r="O18" i="5"/>
  <c r="F18" i="5"/>
  <c r="Q17" i="5"/>
  <c r="F17" i="5"/>
  <c r="O17" i="5" s="1"/>
  <c r="Q16" i="5"/>
  <c r="F16" i="5"/>
  <c r="O16" i="5" s="1"/>
  <c r="Q15" i="5"/>
  <c r="O15" i="5"/>
  <c r="F15" i="5"/>
  <c r="Q14" i="5"/>
  <c r="H14" i="5"/>
  <c r="F14" i="5" s="1"/>
  <c r="O14" i="5" s="1"/>
  <c r="H13" i="5"/>
  <c r="H12" i="5" s="1"/>
  <c r="F13" i="5"/>
  <c r="H11" i="5"/>
  <c r="Q11" i="5" s="1"/>
  <c r="F11" i="5"/>
  <c r="O11" i="5" s="1"/>
  <c r="N8" i="5"/>
  <c r="M8" i="5"/>
  <c r="L8" i="5"/>
  <c r="K8" i="5"/>
  <c r="J8" i="5"/>
  <c r="I8" i="5"/>
  <c r="G8" i="5"/>
  <c r="P8" i="5" s="1"/>
  <c r="E8" i="5"/>
  <c r="D8" i="5"/>
  <c r="C8" i="5"/>
  <c r="F12" i="5" l="1"/>
  <c r="O12" i="5" s="1"/>
  <c r="Q12" i="5"/>
  <c r="F157" i="5"/>
  <c r="O157" i="5" s="1"/>
  <c r="Q157" i="5"/>
  <c r="F71" i="5"/>
  <c r="O71" i="5" s="1"/>
  <c r="Q71" i="5"/>
  <c r="F113" i="5"/>
  <c r="O113" i="5" s="1"/>
  <c r="Q113" i="5"/>
  <c r="F167" i="5"/>
  <c r="O167" i="5" s="1"/>
  <c r="Q167" i="5"/>
  <c r="H10" i="5"/>
  <c r="F34" i="5"/>
  <c r="O34" i="5" s="1"/>
  <c r="Q34" i="5"/>
  <c r="F43" i="5"/>
  <c r="O43" i="5" s="1"/>
  <c r="Q43" i="5"/>
  <c r="F22" i="5"/>
  <c r="O22" i="5" s="1"/>
  <c r="Q28" i="5"/>
  <c r="F33" i="5"/>
  <c r="O33" i="5" s="1"/>
  <c r="Q33" i="5"/>
  <c r="F35" i="5"/>
  <c r="O35" i="5" s="1"/>
  <c r="Q35" i="5"/>
  <c r="F44" i="5"/>
  <c r="O44" i="5" s="1"/>
  <c r="Q44" i="5"/>
  <c r="F46" i="5"/>
  <c r="O46" i="5" s="1"/>
  <c r="Q46" i="5"/>
  <c r="F55" i="5"/>
  <c r="O55" i="5" s="1"/>
  <c r="Q55" i="5"/>
  <c r="F61" i="5"/>
  <c r="O61" i="5" s="1"/>
  <c r="F76" i="5"/>
  <c r="O76" i="5" s="1"/>
  <c r="F78" i="5"/>
  <c r="O78" i="5" s="1"/>
  <c r="F158" i="5"/>
  <c r="O158" i="5" s="1"/>
  <c r="Q158" i="5"/>
  <c r="H21" i="5"/>
  <c r="F32" i="5"/>
  <c r="O32" i="5" s="1"/>
  <c r="Q32" i="5"/>
  <c r="F45" i="5"/>
  <c r="O45" i="5" s="1"/>
  <c r="Q45" i="5"/>
  <c r="F159" i="5"/>
  <c r="O159" i="5" s="1"/>
  <c r="Q159" i="5"/>
  <c r="F87" i="5"/>
  <c r="O87" i="5" s="1"/>
  <c r="Q87" i="5"/>
  <c r="F47" i="5"/>
  <c r="O47" i="5" s="1"/>
  <c r="Q47" i="5"/>
  <c r="F19" i="5"/>
  <c r="O19" i="5" s="1"/>
  <c r="F23" i="5"/>
  <c r="O23" i="5" s="1"/>
  <c r="Q29" i="5"/>
  <c r="F40" i="5"/>
  <c r="O40" i="5" s="1"/>
  <c r="F51" i="5"/>
  <c r="O51" i="5" s="1"/>
  <c r="F53" i="5"/>
  <c r="O53" i="5" s="1"/>
  <c r="H75" i="5"/>
  <c r="F81" i="5"/>
  <c r="O81" i="5" s="1"/>
  <c r="Q81" i="5"/>
  <c r="F86" i="5"/>
  <c r="O86" i="5" s="1"/>
  <c r="Q86" i="5"/>
  <c r="H112" i="5"/>
  <c r="Q160" i="5"/>
  <c r="F160" i="5"/>
  <c r="O160" i="5" s="1"/>
  <c r="Q164" i="5"/>
  <c r="F164" i="5"/>
  <c r="O164" i="5" s="1"/>
  <c r="F329" i="5"/>
  <c r="O329" i="5" s="1"/>
  <c r="Q329" i="5"/>
  <c r="F336" i="5"/>
  <c r="O336" i="5" s="1"/>
  <c r="Q336" i="5"/>
  <c r="F344" i="5"/>
  <c r="O344" i="5" s="1"/>
  <c r="Q344" i="5"/>
  <c r="F346" i="5"/>
  <c r="O346" i="5" s="1"/>
  <c r="Q346" i="5"/>
  <c r="Q168" i="5"/>
  <c r="Q181" i="5"/>
  <c r="H193" i="5"/>
  <c r="Q210" i="5"/>
  <c r="H212" i="5"/>
  <c r="Q225" i="5"/>
  <c r="Q312" i="5"/>
  <c r="Q315" i="5"/>
  <c r="F161" i="5"/>
  <c r="O161" i="5" s="1"/>
  <c r="Q209" i="5"/>
  <c r="Q213" i="5"/>
  <c r="H219" i="5"/>
  <c r="Q221" i="5"/>
  <c r="Q241" i="5"/>
  <c r="H238" i="5"/>
  <c r="Q270" i="5"/>
  <c r="H292" i="5"/>
  <c r="Q318" i="5"/>
  <c r="H328" i="5"/>
  <c r="F352" i="5"/>
  <c r="O352" i="5" s="1"/>
  <c r="Q352" i="5"/>
  <c r="F194" i="5"/>
  <c r="O194" i="5" s="1"/>
  <c r="H205" i="5"/>
  <c r="F225" i="5"/>
  <c r="O225" i="5" s="1"/>
  <c r="F432" i="5"/>
  <c r="O432" i="5" s="1"/>
  <c r="Q432" i="5"/>
  <c r="Q465" i="5"/>
  <c r="H464" i="5"/>
  <c r="F464" i="5" s="1"/>
  <c r="P577" i="5"/>
  <c r="F577" i="5"/>
  <c r="O577" i="5" s="1"/>
  <c r="F376" i="5"/>
  <c r="H373" i="5"/>
  <c r="F431" i="5"/>
  <c r="O431" i="5" s="1"/>
  <c r="Q431" i="5"/>
  <c r="F491" i="5"/>
  <c r="O491" i="5" s="1"/>
  <c r="Q491" i="5"/>
  <c r="F498" i="5"/>
  <c r="O498" i="5" s="1"/>
  <c r="Q498" i="5"/>
  <c r="P651" i="5"/>
  <c r="F651" i="5"/>
  <c r="O651" i="5" s="1"/>
  <c r="F345" i="5"/>
  <c r="O345" i="5" s="1"/>
  <c r="Q345" i="5"/>
  <c r="F353" i="5"/>
  <c r="O353" i="5" s="1"/>
  <c r="Q353" i="5"/>
  <c r="H504" i="5"/>
  <c r="P569" i="5"/>
  <c r="F569" i="5"/>
  <c r="O569" i="5" s="1"/>
  <c r="P645" i="5"/>
  <c r="F645" i="5"/>
  <c r="O645" i="5" s="1"/>
  <c r="F828" i="5"/>
  <c r="O828" i="5" s="1"/>
  <c r="F564" i="5"/>
  <c r="O564" i="5" s="1"/>
  <c r="H371" i="5" l="1"/>
  <c r="Q373" i="5"/>
  <c r="F373" i="5"/>
  <c r="O373" i="5" s="1"/>
  <c r="F219" i="5"/>
  <c r="O219" i="5" s="1"/>
  <c r="Q219" i="5"/>
  <c r="H416" i="5"/>
  <c r="Q205" i="5"/>
  <c r="F205" i="5"/>
  <c r="O205" i="5" s="1"/>
  <c r="H204" i="5"/>
  <c r="F328" i="5"/>
  <c r="O328" i="5" s="1"/>
  <c r="H288" i="5"/>
  <c r="Q328" i="5"/>
  <c r="Q238" i="5"/>
  <c r="H236" i="5"/>
  <c r="F238" i="5"/>
  <c r="O238" i="5" s="1"/>
  <c r="Q193" i="5"/>
  <c r="F193" i="5"/>
  <c r="O193" i="5" s="1"/>
  <c r="F112" i="5"/>
  <c r="O112" i="5" s="1"/>
  <c r="Q112" i="5"/>
  <c r="F10" i="5"/>
  <c r="O10" i="5" s="1"/>
  <c r="Q10" i="5"/>
  <c r="Q75" i="5"/>
  <c r="F75" i="5"/>
  <c r="O75" i="5" s="1"/>
  <c r="F504" i="5"/>
  <c r="O504" i="5" s="1"/>
  <c r="F292" i="5"/>
  <c r="O292" i="5" s="1"/>
  <c r="Q292" i="5"/>
  <c r="F212" i="5"/>
  <c r="O212" i="5" s="1"/>
  <c r="Q212" i="5"/>
  <c r="Q21" i="5"/>
  <c r="H20" i="5"/>
  <c r="F21" i="5"/>
  <c r="O21" i="5" s="1"/>
  <c r="Q20" i="5" l="1"/>
  <c r="F20" i="5"/>
  <c r="O20" i="5" s="1"/>
  <c r="H287" i="5"/>
  <c r="F288" i="5"/>
  <c r="O288" i="5" s="1"/>
  <c r="Q288" i="5"/>
  <c r="F236" i="5"/>
  <c r="O236" i="5" s="1"/>
  <c r="Q236" i="5"/>
  <c r="F416" i="5"/>
  <c r="O416" i="5" s="1"/>
  <c r="Q416" i="5"/>
  <c r="Q204" i="5"/>
  <c r="F204" i="5"/>
  <c r="O204" i="5" s="1"/>
  <c r="H370" i="5"/>
  <c r="F371" i="5"/>
  <c r="O371" i="5" s="1"/>
  <c r="Q371" i="5"/>
  <c r="Q287" i="5" l="1"/>
  <c r="F287" i="5"/>
  <c r="O287" i="5" s="1"/>
  <c r="F370" i="5"/>
  <c r="O370" i="5" s="1"/>
  <c r="Q370" i="5"/>
  <c r="H9" i="5"/>
  <c r="H8" i="5" l="1"/>
  <c r="Q8" i="5" s="1"/>
  <c r="F9" i="5"/>
  <c r="Q9" i="5"/>
  <c r="O9" i="5" l="1"/>
  <c r="F8" i="5"/>
  <c r="O8" i="5" s="1"/>
  <c r="E41" i="4"/>
  <c r="E40" i="4"/>
  <c r="E39" i="4"/>
  <c r="E38" i="4"/>
  <c r="E37" i="4"/>
  <c r="E36" i="4"/>
  <c r="E35" i="4"/>
  <c r="E34" i="4"/>
  <c r="E33" i="4"/>
  <c r="E32" i="4"/>
  <c r="E31" i="4"/>
  <c r="A31" i="4"/>
  <c r="A32" i="4" s="1"/>
  <c r="A33" i="4" s="1"/>
  <c r="A34" i="4" s="1"/>
  <c r="A35" i="4" s="1"/>
  <c r="A36" i="4" s="1"/>
  <c r="A37" i="4" s="1"/>
  <c r="A38" i="4" s="1"/>
  <c r="E30" i="4"/>
  <c r="A30" i="4"/>
  <c r="E29" i="4"/>
  <c r="E27" i="4"/>
  <c r="E21" i="4"/>
  <c r="E20" i="4"/>
  <c r="E19" i="4"/>
  <c r="E18" i="4"/>
  <c r="E17" i="4"/>
  <c r="E16" i="4"/>
  <c r="E15" i="4"/>
  <c r="E13" i="4"/>
  <c r="E12" i="4"/>
  <c r="E10" i="4"/>
  <c r="E9" i="4"/>
  <c r="E8" i="4"/>
  <c r="J30" i="3" l="1"/>
  <c r="I30" i="3"/>
  <c r="K29" i="3"/>
  <c r="J29" i="3"/>
  <c r="I29" i="3"/>
  <c r="J28" i="3"/>
  <c r="I28" i="3"/>
  <c r="J25" i="3"/>
  <c r="I25" i="3"/>
  <c r="J24" i="3"/>
  <c r="I24" i="3"/>
  <c r="K23" i="3"/>
  <c r="J23" i="3"/>
  <c r="I23" i="3"/>
  <c r="K22" i="3"/>
  <c r="J22" i="3"/>
  <c r="I22" i="3"/>
  <c r="K20" i="3"/>
  <c r="J20" i="3"/>
  <c r="I20" i="3"/>
  <c r="J14" i="3"/>
  <c r="J13" i="3"/>
  <c r="K10" i="3"/>
  <c r="J10" i="3"/>
  <c r="I10" i="3"/>
  <c r="K9" i="3"/>
  <c r="J9" i="3"/>
  <c r="I9" i="3"/>
  <c r="K8" i="3"/>
  <c r="J8" i="3"/>
  <c r="I8" i="3"/>
  <c r="A38" i="2" l="1"/>
  <c r="A39" i="2" s="1"/>
  <c r="A40" i="2" s="1"/>
  <c r="A41" i="2" s="1"/>
  <c r="G36" i="2"/>
  <c r="H34" i="2"/>
  <c r="G34" i="2"/>
  <c r="H33" i="2"/>
  <c r="G33" i="2"/>
  <c r="H32" i="2"/>
  <c r="G32" i="2"/>
  <c r="A32" i="2"/>
  <c r="A33" i="2" s="1"/>
  <c r="H31" i="2"/>
  <c r="G31" i="2"/>
  <c r="H30" i="2"/>
  <c r="G30" i="2"/>
  <c r="H29" i="2"/>
  <c r="G29" i="2"/>
  <c r="H28" i="2"/>
  <c r="G28" i="2"/>
  <c r="H27" i="2"/>
  <c r="G27" i="2"/>
  <c r="H26" i="2"/>
  <c r="G26" i="2"/>
  <c r="H20" i="2"/>
  <c r="G20" i="2"/>
  <c r="H19" i="2"/>
  <c r="G19" i="2"/>
  <c r="H16" i="2"/>
  <c r="G16" i="2"/>
  <c r="H15" i="2"/>
  <c r="G15" i="2"/>
  <c r="H14" i="2"/>
  <c r="G14" i="2"/>
  <c r="H13" i="2"/>
  <c r="G13" i="2"/>
  <c r="A13" i="2"/>
  <c r="A14" i="2" s="1"/>
  <c r="A15" i="2" s="1"/>
  <c r="A16" i="2" s="1"/>
  <c r="A19" i="2" s="1"/>
  <c r="A20" i="2" s="1"/>
  <c r="A25" i="2" s="1"/>
  <c r="A26" i="2" s="1"/>
  <c r="A27" i="2" s="1"/>
  <c r="A28" i="2" s="1"/>
  <c r="A29" i="2" s="1"/>
  <c r="H12" i="2"/>
  <c r="G12" i="2"/>
  <c r="A12" i="2"/>
  <c r="H11" i="2"/>
  <c r="G11" i="2"/>
  <c r="H10" i="2"/>
  <c r="G10" i="2"/>
  <c r="H9" i="2"/>
  <c r="G9" i="2"/>
  <c r="H8" i="2"/>
  <c r="G8" i="2"/>
  <c r="E37" i="1" l="1"/>
  <c r="E35" i="1"/>
  <c r="E34" i="1"/>
  <c r="E33" i="1"/>
  <c r="E31" i="1"/>
  <c r="E30" i="1"/>
  <c r="C28" i="1"/>
  <c r="E28" i="1" s="1"/>
  <c r="A28" i="1"/>
  <c r="E26" i="1"/>
  <c r="E24" i="1"/>
  <c r="E23" i="1"/>
  <c r="E22" i="1"/>
  <c r="E21" i="1"/>
  <c r="E20" i="1"/>
  <c r="E19" i="1"/>
  <c r="E18" i="1"/>
  <c r="E14" i="1"/>
  <c r="E13" i="1"/>
  <c r="E12" i="1"/>
  <c r="A12" i="1"/>
  <c r="A15" i="1" s="1"/>
  <c r="A16" i="1" s="1"/>
  <c r="A17" i="1" s="1"/>
  <c r="E11" i="1"/>
  <c r="E10" i="1"/>
  <c r="E9" i="1"/>
  <c r="E8" i="1"/>
</calcChain>
</file>

<file path=xl/comments1.xml><?xml version="1.0" encoding="utf-8"?>
<comments xmlns="http://schemas.openxmlformats.org/spreadsheetml/2006/main">
  <authors>
    <author>Admin</author>
  </authors>
  <commentList>
    <comment ref="H465" authorId="0" shapeId="0">
      <text>
        <r>
          <rPr>
            <b/>
            <sz val="9"/>
            <color indexed="81"/>
            <rFont val="Tahoma"/>
            <family val="2"/>
          </rPr>
          <t>Admin:</t>
        </r>
        <r>
          <rPr>
            <sz val="9"/>
            <color indexed="81"/>
            <rFont val="Tahoma"/>
            <family val="2"/>
          </rPr>
          <t xml:space="preserve">
rà soát hộ nghèo 160, thăm hỏi tặng quà NCC 31</t>
        </r>
      </text>
    </comment>
  </commentList>
</comments>
</file>

<file path=xl/sharedStrings.xml><?xml version="1.0" encoding="utf-8"?>
<sst xmlns="http://schemas.openxmlformats.org/spreadsheetml/2006/main" count="1715" uniqueCount="972">
  <si>
    <t>Đơn vị: Triệu đồng</t>
  </si>
  <si>
    <t>STT</t>
  </si>
  <si>
    <t>NỘI DUNG</t>
  </si>
  <si>
    <t>A</t>
  </si>
  <si>
    <t>B</t>
  </si>
  <si>
    <t>TỔNG NGUỒN THU NSĐP</t>
  </si>
  <si>
    <t>I</t>
  </si>
  <si>
    <t>Thu NSĐP hưởng 100%</t>
  </si>
  <si>
    <t>Thu NSĐP hưởng từ các khoản thu phân chia</t>
  </si>
  <si>
    <t>II</t>
  </si>
  <si>
    <t>Thu bổ sung từ NSTW</t>
  </si>
  <si>
    <t>Thu bổ sung có mục tiêu</t>
  </si>
  <si>
    <t>III</t>
  </si>
  <si>
    <t>Thu từ quỹ dự trữ tài chính</t>
  </si>
  <si>
    <t>Thu kết dư</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</si>
  <si>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</si>
  <si>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</si>
  <si>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</si>
  <si>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</si>
  <si>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</si>
  <si>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</si>
  <si>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</si>
  <si>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</si>
  <si>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</si>
  <si>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</si>
  <si>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</si>
  <si>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</si>
  <si>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</si>
  <si>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</si>
  <si>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</si>
  <si>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</si>
  <si>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</si>
  <si>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</si>
  <si>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</si>
  <si>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</si>
  <si>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</si>
  <si>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</si>
  <si>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 xml:space="preserve">Thu bổ sung cân đối </t>
  </si>
  <si>
    <t>DỰ TOÁN</t>
  </si>
  <si>
    <t>Chi cân đối NSĐP</t>
  </si>
  <si>
    <t>Biểu số 62/CK-NSNN</t>
  </si>
  <si>
    <t>QUYẾT TOÁN</t>
  </si>
  <si>
    <t>SO SÁNH
(%)</t>
  </si>
  <si>
    <t>Thu ngân sách địa phương được hưởng theo phân cấp</t>
  </si>
  <si>
    <t>BỘI CHI NSĐP/BỘI THU NSĐP/KẾT DƯ NSĐP</t>
  </si>
  <si>
    <t>E</t>
  </si>
  <si>
    <t>TỔNG MỨC DƯ NỢ VAY CUỐI NĂM CỦA NSĐP</t>
  </si>
  <si>
    <t>Biểu số 63/CK-NSNN</t>
  </si>
  <si>
    <t>SO SÁNH (%)</t>
  </si>
  <si>
    <t>TỔNG THU NSNN</t>
  </si>
  <si>
    <t>THU NSĐP</t>
  </si>
  <si>
    <t>TỔNG NGUỒN THU NSNN</t>
  </si>
  <si>
    <t>TỔNG THU CÂN ĐỐI NSNN</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</si>
  <si>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</si>
  <si>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</si>
  <si>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</si>
  <si>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</si>
  <si>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</si>
  <si>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</si>
  <si>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</si>
  <si>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</si>
  <si>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</si>
  <si>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</si>
  <si>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</si>
  <si>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</si>
  <si>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tỉnh</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</si>
  <si>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</si>
  <si>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</si>
  <si>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</si>
  <si>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</si>
  <si>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</si>
  <si>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</si>
  <si>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</si>
  <si>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</si>
  <si>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</si>
  <si>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</si>
  <si>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</si>
  <si>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</si>
  <si>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 từ dầu thô</t>
  </si>
  <si>
    <t>Thu từ hoạt động xuất nhập khẩu</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</si>
  <si>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</si>
  <si>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</si>
  <si>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</si>
  <si>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</si>
  <si>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</si>
  <si>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</si>
  <si>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IV</t>
  </si>
  <si>
    <t>Thu viện trợ</t>
  </si>
  <si>
    <t>THU TỪ QUỸ DỰ TRỮ TÀI CHÍNH</t>
  </si>
  <si>
    <t>THU KẾT DƯ NĂM TRƯỚC</t>
  </si>
  <si>
    <t>THU CHUYỂN NGUỒN TỪ NĂM TRƯỚC CHUYỂN SANG</t>
  </si>
  <si>
    <t>Biểu số 64/CK-NSNN</t>
  </si>
  <si>
    <t>BAO GỒM</t>
  </si>
  <si>
    <t>NGÂN SÁCH CẤP TỈNH</t>
  </si>
  <si>
    <t>NGÂN SÁCH HUYỆN</t>
  </si>
  <si>
    <t>NSĐP</t>
  </si>
  <si>
    <t>CHI CÂN ĐỐI NSĐP</t>
  </si>
  <si>
    <t>Chi đầu tư phát triển</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</si>
  <si>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</si>
  <si>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</si>
  <si>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</si>
  <si>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</si>
  <si>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</si>
  <si>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</si>
  <si>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</si>
  <si>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</si>
  <si>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</si>
  <si>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</si>
  <si>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</si>
  <si>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</si>
  <si>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t>
  </si>
  <si>
    <t>VI</t>
  </si>
  <si>
    <t>CHI CÁC CHƯƠNG TRÌNH MỤC TIÊU</t>
  </si>
  <si>
    <t>CHI CHUYỂN NGUỒN SANG NĂM SAU</t>
  </si>
  <si>
    <t>Biểu số 65/CK-NSNN</t>
  </si>
  <si>
    <t>TỔNG CHI NGÂN SÁCH ĐỊA PHƯƠNG</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</si>
  <si>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</si>
  <si>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</si>
  <si>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</si>
  <si>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</si>
  <si>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</si>
  <si>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</si>
  <si>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</si>
  <si>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</si>
  <si>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</si>
  <si>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</si>
  <si>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</si>
  <si>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</si>
  <si>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</si>
  <si>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</si>
  <si>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</si>
  <si>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</si>
  <si>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</si>
  <si>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</si>
  <si>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</si>
  <si>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</si>
  <si>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66/CK-NSNN</t>
  </si>
  <si>
    <t>TÊN ĐƠN VỊ</t>
  </si>
  <si>
    <t>TỔNG SỐ</t>
  </si>
  <si>
    <t>CHI ĐẦU TƯ PHÁT TRIỂN  (KHÔNG KỂ CHƯƠNG TRÌNH MTQG)</t>
  </si>
  <si>
    <t>CHI THƯỜNG XUYÊN</t>
  </si>
  <si>
    <t>CHI THƯỜNG XUYÊN (KHÔNG KỂ CHƯƠNG TRÌNH MTQG)</t>
  </si>
  <si>
    <t>CHI TRẢ NỢ LÃI CÁC KHOẢN DO CHÍNH QUYỀN ĐỊA PHƯƠNG VAY</t>
  </si>
  <si>
    <t>CHI BỔ SUNG QUỸ DỰ TRỮ TÀI CHÍNH</t>
  </si>
  <si>
    <t>CHI CHƯƠNG TRÌNH MTQG</t>
  </si>
  <si>
    <t>CHI CHUYỂN NGUỒN SANG NGÂN SÁCH NĂM SAU</t>
  </si>
  <si>
    <t>TỔNG SỔ</t>
  </si>
  <si>
    <t>CHI ĐẨU TƯ PHÁT TRIỂN</t>
  </si>
  <si>
    <t>CHI DỰ PHÒNG NGÂN SÁCH</t>
  </si>
  <si>
    <t>CHI TẠO NGUỒN, ĐIỀU CHỈNH TIỀN LƯƠNG</t>
  </si>
  <si>
    <t>CHI BỔ SUNG CÓ MỤC TIÊU CHO NGÂN SÁCH HUYỆN</t>
  </si>
  <si>
    <t>VII</t>
  </si>
  <si>
    <t>Biểu số 67/CK-NSNN</t>
  </si>
  <si>
    <t>Tên đơn vị</t>
  </si>
  <si>
    <t>Dự toán</t>
  </si>
  <si>
    <t>Quyết toán</t>
  </si>
  <si>
    <t>So sánh (%)</t>
  </si>
  <si>
    <t>Tổng số</t>
  </si>
  <si>
    <t>Bổ sung cân đối</t>
  </si>
  <si>
    <t>Bổ sung có mục tiêu</t>
  </si>
  <si>
    <t>Vốn đầu tư để thực hiện các chương trình mục tiêu, nhiệm vụ</t>
  </si>
  <si>
    <t>Vốn sự nghiệp để thực hiện các chế độ, chính sách, nhiệm vụ</t>
  </si>
  <si>
    <t>Vốn thực hiện các chương trình mục tiêu quốc gia</t>
  </si>
  <si>
    <t>Thành phố Hoà Bình</t>
  </si>
  <si>
    <t>Huyện Kim Bôi</t>
  </si>
  <si>
    <t>Huyện Lạc Sơn</t>
  </si>
  <si>
    <t>Huyện Lương Sơn</t>
  </si>
  <si>
    <t>Huyện Lạc Thuỷ</t>
  </si>
  <si>
    <t>Huyện Mai Châu</t>
  </si>
  <si>
    <t>Huyện Cao Phong</t>
  </si>
  <si>
    <t>Nội dung</t>
  </si>
  <si>
    <t>Trong đó</t>
  </si>
  <si>
    <t>Đầu tư phát triển</t>
  </si>
  <si>
    <t>Kinh phí sự nghiệp</t>
  </si>
  <si>
    <t>Vốn trong nước</t>
  </si>
  <si>
    <t>Vốn ngoài nước</t>
  </si>
  <si>
    <t>Ngân sách cấp tỉnh</t>
  </si>
  <si>
    <t>Ban Dân tộc</t>
  </si>
  <si>
    <t>Sở Y tế</t>
  </si>
  <si>
    <t>Sở Giáo dục và Đào tạo</t>
  </si>
  <si>
    <t>CÁC CƠ QUAN, TỔ CHỨC</t>
  </si>
  <si>
    <t>Sở Lao động - Thương binh và Xã hội</t>
  </si>
  <si>
    <t>Sở Tài nguyên và Môi trường</t>
  </si>
  <si>
    <t>Văn phòng điều phối</t>
  </si>
  <si>
    <t xml:space="preserve">Sở Lao động-TB và XH </t>
  </si>
  <si>
    <t>UBND TỈNH HOÀ BÌNH</t>
  </si>
  <si>
    <t>CÂN ĐỐI NGÂN SÁCH ĐỊA PHƯƠNG NĂM 2021</t>
  </si>
  <si>
    <t>QUYẾT TOÁN THU NGÂN SÁCH NHÀ NƯỚC NĂM 2021</t>
  </si>
  <si>
    <t>QUYẾT TOÁN CHI NGÂN SÁCH ĐỊA PHƯƠNG, CHI NGÂN SÁCH CẤP TỈNH 
VÀ CHI NGÂN SÁCH HUYỆN THEO CƠ CẤU CHI NĂM 2021</t>
  </si>
  <si>
    <t>QUYẾT TOÁN CHI NGÂN SÁCH CẤP TỈNH THEO TỪNG LĨNH VỰC NĂM 2021</t>
  </si>
  <si>
    <t>QUYẾT TOÁN CHI NGÂN SÁCH CẤP TỈNH CHO TỪNG CƠ QUAN, TỔ CHỨC NĂM 2021</t>
  </si>
  <si>
    <t>Chi thường xuyên (Không kể CTMTQG)</t>
  </si>
  <si>
    <t>Chi quốc phòng</t>
  </si>
  <si>
    <t>Bộ chỉ huy quân sự tỉnh</t>
  </si>
  <si>
    <t>Chi an ninh</t>
  </si>
  <si>
    <t>Công an tỉnh</t>
  </si>
  <si>
    <t xml:space="preserve"> +</t>
  </si>
  <si>
    <t>Hoạt động đảm bảo an ninh</t>
  </si>
  <si>
    <t>Công an tỉnh: CT phòng chống ma túy (800 tr.đồng); CT phòng chống mại dâm (100 tr.đồng); CT phòng chống tội phạm (500 tr.đồng); CT ngăn ngừa trẻ em vi phạm pháp luật (50 tr.đồng); Hỗ trợ kinh phí ngăn ngừa buôn bán phụ nữ, trẻ em (50 tr.đồng)</t>
  </si>
  <si>
    <t>Hỗ trợ kinh phí mua sắm trang thiết bị nhà công vụ (3.150 trđ), sửa chữa sân điều lệ (4.050trđ)</t>
  </si>
  <si>
    <t>Mua sắm thực hiện Pháp lệnh Công an xã</t>
  </si>
  <si>
    <t>Hỗ trợ kinh phí mua sắm trang thiết bị phục vụ công tác đảm bảo an ninh mạng, dấu tranh phòng chống tội phạm sử dụng công nghệ cao (thành lập Phòng An nnh mạng và chống tội phạm công nghệ cao)</t>
  </si>
  <si>
    <t>Sở Lao động - Thương binh và xã hội: kinh phí thực hiện các Chương trình về trẻ em (815 tr.đồng); Chương trình Phòng chống ma tuý, cai nghiện phục hồi và quản lý sau cai (7.000 tr.đồng); Chương trình Phòng chống mại dâm (200 tr.đồng)</t>
  </si>
  <si>
    <t>Chi sự nghiệp Giáo dục và Đào tạo</t>
  </si>
  <si>
    <t>a</t>
  </si>
  <si>
    <t xml:space="preserve">Sự nghiệp giáo dục  </t>
  </si>
  <si>
    <t>Trường PT DTNT Tỉnh</t>
  </si>
  <si>
    <t>Trường THPT Chuyên Hoàng Văn Thụ</t>
  </si>
  <si>
    <t>Trường THPT Lạc Long Quân</t>
  </si>
  <si>
    <t>Trường THPT Công nghiệp</t>
  </si>
  <si>
    <t>Trường THPT Ngô Quyền</t>
  </si>
  <si>
    <t>Trường THPT Mai Châu A</t>
  </si>
  <si>
    <t>Trường THPT Mai Châu B</t>
  </si>
  <si>
    <t>Trường THPT Đà Bắc</t>
  </si>
  <si>
    <t>Trường THPT Yên Hòa</t>
  </si>
  <si>
    <t>Trường THPT Mường Chiềng</t>
  </si>
  <si>
    <t xml:space="preserve">Trường THPT  Kỳ Sơn </t>
  </si>
  <si>
    <t>Trường THPT Cao Phong</t>
  </si>
  <si>
    <t>Trường THPT Thạch Yên</t>
  </si>
  <si>
    <t>Trường THPT Phú Cường</t>
  </si>
  <si>
    <t>Trường THPT Lương Sơn</t>
  </si>
  <si>
    <t>Trường THPT Nam Lương Sơn</t>
  </si>
  <si>
    <t>Trường THPT Tân Lạc</t>
  </si>
  <si>
    <t>Trường THPT Mường Bi</t>
  </si>
  <si>
    <t>Trường THPT Lũng Vân</t>
  </si>
  <si>
    <t>Trường THPT Đoàn Kết</t>
  </si>
  <si>
    <t>Trường THPT Lạc Sơn</t>
  </si>
  <si>
    <t>Trường THPT Cộng Hòa</t>
  </si>
  <si>
    <t>Trường THPT Đại Đồng</t>
  </si>
  <si>
    <t>Trường THPT Quyết Thắng</t>
  </si>
  <si>
    <t>Trường THPT Yên Thủy A</t>
  </si>
  <si>
    <t>Trường THPT Yên Thủy B</t>
  </si>
  <si>
    <t>Trường THPT Yên Thủy C</t>
  </si>
  <si>
    <t>Trường THPT Lạc Thủy A</t>
  </si>
  <si>
    <t>Trường THPT Lạc Thủy B</t>
  </si>
  <si>
    <t>Trường THPT Lạc Thủy C</t>
  </si>
  <si>
    <t>Trường THPT Kim Bôi</t>
  </si>
  <si>
    <t>Trường THPT Sào Báy</t>
  </si>
  <si>
    <t>Trường THPT Bắc Sơn</t>
  </si>
  <si>
    <t>Trường THPT 19/5</t>
  </si>
  <si>
    <t>Trường THPT Cù Chính Lan</t>
  </si>
  <si>
    <t>Trường THPT Thanh Hà</t>
  </si>
  <si>
    <t>Trường THCS&amp;THPT Ngọc Sơn</t>
  </si>
  <si>
    <t>Trung tâm GDTX Tỉnh</t>
  </si>
  <si>
    <t>Trường PT DTNT THCS Mai Châu A</t>
  </si>
  <si>
    <t>Trường PT DTNT THCS Mai Châu B</t>
  </si>
  <si>
    <t>Trường PT DTNT THCS Đà Bắc A</t>
  </si>
  <si>
    <t>Trường PT DTNT THCS Đà Bắc B</t>
  </si>
  <si>
    <t>Trường PT DTNT THCS Yên Thủy</t>
  </si>
  <si>
    <t>Trường PT DTNT THCS Cao Phong</t>
  </si>
  <si>
    <t>Trường PT DTNT THCS Lạc Sơn</t>
  </si>
  <si>
    <t>Trường PT DTNT THCS Kim Bôi</t>
  </si>
  <si>
    <t>Trường PT DTNT THCS Tân Lạc</t>
  </si>
  <si>
    <t>Trường PT DTNT THCS Lạc Thủy</t>
  </si>
  <si>
    <t>Trường PT DTNT THCS Lương Sơn</t>
  </si>
  <si>
    <t>Trung tâm hướng nghiệp tỉnh</t>
  </si>
  <si>
    <t>Sở Giáo dục và Đào tạo (070-073)</t>
  </si>
  <si>
    <t xml:space="preserve">Sở Giáo dục và Đào tạo (070-074) </t>
  </si>
  <si>
    <t>VP Sở Giáo dục và Đào tạo (070-075)</t>
  </si>
  <si>
    <t>b</t>
  </si>
  <si>
    <t>Sự nghiệp đào tạo</t>
  </si>
  <si>
    <t>Trường Cao đẳng sư phạm</t>
  </si>
  <si>
    <t>Trường Cao đẳng kinh tế kỹ thuật</t>
  </si>
  <si>
    <t>Trường Năng khiếu thể dục thể thao</t>
  </si>
  <si>
    <t>Trường Cao đẳng công nghệ kỹ thuật</t>
  </si>
  <si>
    <t xml:space="preserve">Trường Chính trị </t>
  </si>
  <si>
    <t>Trường Trung học Y tế</t>
  </si>
  <si>
    <t>Đào tạo cử tuyển (Sở Nội vụ)</t>
  </si>
  <si>
    <t>Đào tạo cử tuyển (Sở Giáo dục)</t>
  </si>
  <si>
    <t>Đào tạo cán bộ xã, phường, thị trấn trình độ đại học, cao đẳng ngành quân sự cơ sở theo QĐ 799/QĐ-TTg (Bộ Chỉ huy quân sự tỉnh)</t>
  </si>
  <si>
    <t>Hỗ trợ đào tạo nghề cho người lao động theo Quyết định số 1454/QĐ-UBND ngày 03/6/2016 của UBND tỉnh về ban hành quy đinh hỗ trợ đào tạo nghề cho lao động làm việc ở trong khu công nghiệp</t>
  </si>
  <si>
    <t>Đào tạo dạy nghề (Trung tâm Dạy nghề và giới thiệu việc làm)</t>
  </si>
  <si>
    <t>Đào tạo, bồi dưỡng cán bộ, công chức và thu hút nhân tài (Sở Nội vụ)</t>
  </si>
  <si>
    <t>+</t>
  </si>
  <si>
    <t>Sở Nội vụ</t>
  </si>
  <si>
    <t>Ban Thi đua khen thưởng</t>
  </si>
  <si>
    <t>Sở Công thương</t>
  </si>
  <si>
    <t>Liên minh hợp tác xã</t>
  </si>
  <si>
    <t>Sở xây dựng</t>
  </si>
  <si>
    <t>Thanh tra tỉnh</t>
  </si>
  <si>
    <t>Sở Thông tin và truyền thông</t>
  </si>
  <si>
    <t>Hội Liên hiệp phụ nữ</t>
  </si>
  <si>
    <t>Ban Dân tộc (VP Ban dân tộc)</t>
  </si>
  <si>
    <t>VP Sở Y tế</t>
  </si>
  <si>
    <t>Văn phòng Tỉnh ủy</t>
  </si>
  <si>
    <t>Sở Giao thông vận tải</t>
  </si>
  <si>
    <t>Sở Văn hóa thể thao và Du lịch</t>
  </si>
  <si>
    <t>Chi cục kiểm lâm</t>
  </si>
  <si>
    <t>Sở Tài chính</t>
  </si>
  <si>
    <t>Sở Tư pháp</t>
  </si>
  <si>
    <t>Chi cục trồng trọt và bảo vệ thực vật</t>
  </si>
  <si>
    <t>Ủy ban mặt trận tổ quốc</t>
  </si>
  <si>
    <t>Chi cục Bảo vệ môi trường</t>
  </si>
  <si>
    <t>Tỉnh đoàn</t>
  </si>
  <si>
    <t>TT Xúc tiến Đầu tư, TM và DL</t>
  </si>
  <si>
    <t>Chi sự nghiệp Y tế</t>
  </si>
  <si>
    <t>Chữa bệnh</t>
  </si>
  <si>
    <t>Bệnh viện đa khoa tỉnh</t>
  </si>
  <si>
    <t>Bệnh viện y học cổ truyền</t>
  </si>
  <si>
    <t>TT Y tế TP HB</t>
  </si>
  <si>
    <t>TT Y tế huyện Mai Châu</t>
  </si>
  <si>
    <t>TT Y tế huyện Đà Bắc</t>
  </si>
  <si>
    <t>TT Y tế huyện Tân Lạc</t>
  </si>
  <si>
    <t>TT Y tế huyện Lạc Sơn</t>
  </si>
  <si>
    <t>TT Y tế huyện Yên Thủy</t>
  </si>
  <si>
    <t>TT Y tế huyện Lạc Thủy</t>
  </si>
  <si>
    <t>TT Y tế huyện Cao Phong</t>
  </si>
  <si>
    <t>TT Y tế huyện Lương Sơn</t>
  </si>
  <si>
    <t>Phòng bệnh</t>
  </si>
  <si>
    <t>Trung tâm Kiểm soát bệnh tật</t>
  </si>
  <si>
    <t>TT Y tế huyện Kim Bôi</t>
  </si>
  <si>
    <t>VP Sở Y tế  (KP Phòng chống dịch bệnh)</t>
  </si>
  <si>
    <t>c</t>
  </si>
  <si>
    <t>Y tế khác</t>
  </si>
  <si>
    <t>Trung.tâm kiểm nghiệm thuốc, Mỹ phẩm, Thực phẩm</t>
  </si>
  <si>
    <t>TT giám định pháp y</t>
  </si>
  <si>
    <t>TT giám định y khoa</t>
  </si>
  <si>
    <t>KP Methadone</t>
  </si>
  <si>
    <t>TT kiếm soát bệnh tật (Đề án đảm bảo tài chính và methadole)</t>
  </si>
  <si>
    <t>TT Y tế TPHB</t>
  </si>
  <si>
    <t>d</t>
  </si>
  <si>
    <t>Quỹ khám chữa bệnh cho người nghèo</t>
  </si>
  <si>
    <t>đ</t>
  </si>
  <si>
    <t>Y tế xã</t>
  </si>
  <si>
    <t>e</t>
  </si>
  <si>
    <t>Y tế thôn bản</t>
  </si>
  <si>
    <t>f</t>
  </si>
  <si>
    <t>Kinh phí mua thẻ bảo hiểm y tế</t>
  </si>
  <si>
    <t>g</t>
  </si>
  <si>
    <t>Hỗ trợ đầu tư trở lại từ nguồn NSNN giảm chi thường xuyên do tăng mức thu viện phí</t>
  </si>
  <si>
    <t>Chi dân số và kế hoạch hoá gia đình</t>
  </si>
  <si>
    <t>TTYT thành phố Hoà Bình</t>
  </si>
  <si>
    <t>TTYT huyện Mai Châu</t>
  </si>
  <si>
    <t>TTYT huyện Đà Bắc</t>
  </si>
  <si>
    <t>TTYT huyện Tân Lạc</t>
  </si>
  <si>
    <t>TTYT huyện Lạc Sơn</t>
  </si>
  <si>
    <t>TTYT huyện Yên Thuỷ</t>
  </si>
  <si>
    <t>TTYT huyện Lạc Thuỷ</t>
  </si>
  <si>
    <t>TTYT huyện Kim Bôi</t>
  </si>
  <si>
    <t>TTYT huyện Cao Phong</t>
  </si>
  <si>
    <t>TTYT huyện Lương Sơn</t>
  </si>
  <si>
    <t>Văn phòng Chi cục dân số KHHGĐ</t>
  </si>
  <si>
    <t>Chi sự nghiệp Khoa học và Công nghệ</t>
  </si>
  <si>
    <t>Các đơn vị trực thuộc Sở Khoa học và Công nghệ</t>
  </si>
  <si>
    <t>TT Ứng dụng chuyển giao KHCN</t>
  </si>
  <si>
    <t>Hoạt động sự nghiệp KHCN</t>
  </si>
  <si>
    <t>Sở Khoa học và Công nghệ</t>
  </si>
  <si>
    <t>VP Sở Khoa học và Công nghệ</t>
  </si>
  <si>
    <t>Trung tâm kỹ thuật tiêu chuẩn ĐLchất lượng</t>
  </si>
  <si>
    <t>Chi cục Tiêu chuẩn đo lường chất lượng</t>
  </si>
  <si>
    <t>Quỹ Phát triển KHCN tỉnh (599-373)</t>
  </si>
  <si>
    <t>Liên hiệp hội KHCN</t>
  </si>
  <si>
    <t>TTâm thông tin TK KH&amp;CN</t>
  </si>
  <si>
    <t>Chi sự nghiệp văn hoá, thông tin và du lịch</t>
  </si>
  <si>
    <t>Ngành Văn hoá, thể thao và du lịch</t>
  </si>
  <si>
    <t>Trung tâm Văn hóa thông tin</t>
  </si>
  <si>
    <t>Bảo tàng tỉnh</t>
  </si>
  <si>
    <t>Thư viện tỉnh</t>
  </si>
  <si>
    <t>Đoàn nghệ thuật các dân tộc tỉnh HB</t>
  </si>
  <si>
    <t>TT Văn hóa điện ảnh</t>
  </si>
  <si>
    <t>VP Sở Văn hóa thể thao và Du lịch (161)</t>
  </si>
  <si>
    <t>Các đơn vị thuộc tỉnh đoàn</t>
  </si>
  <si>
    <t>Nhà thiếu nhi</t>
  </si>
  <si>
    <t>Trung tâm hoạt động thanh thiếu niên</t>
  </si>
  <si>
    <t>Sự nghiệp thông tin (Sở TTTT)</t>
  </si>
  <si>
    <t>Công thông tin điện tử</t>
  </si>
  <si>
    <t>Sự nghiệp thông tin</t>
  </si>
  <si>
    <t>Khu du lịch quốc gia</t>
  </si>
  <si>
    <t>Chi sự nghiệp phát thanh - truyền hình</t>
  </si>
  <si>
    <t>Đài phát thanh - Truyền hình tỉnh</t>
  </si>
  <si>
    <t>Chi sự nghiệp thể dục thể thao</t>
  </si>
  <si>
    <t>Trường Năng khiếu - Huấn luyện và Thi đấu thể dục thể thao tỉnh Hòa Bình</t>
  </si>
  <si>
    <t xml:space="preserve">Chi đảm bảo xã hội </t>
  </si>
  <si>
    <t>Cơ sở cai nghiện ma túy số I
 (TT Chữa bệnh giáo dục lao động xã hội)</t>
  </si>
  <si>
    <t xml:space="preserve">TT Công tác xã hội </t>
  </si>
  <si>
    <t>Cơ sở cai nghiện ma túy số II 
(TTâm GD lao động xã hội Lạc Sơn)</t>
  </si>
  <si>
    <t>TT điều dưỡng người có công Kim Bôi</t>
  </si>
  <si>
    <t>Quỹ bảo trợ trẻ em</t>
  </si>
  <si>
    <t xml:space="preserve">Sở Lao động-Thương binh và Xã hội: 
</t>
  </si>
  <si>
    <t>Hỗ trợ đóng BHXH tự nguyện cho đối tượng là hộ nghèo, cận nghèo</t>
  </si>
  <si>
    <t>Chi đảm bảo xã hội khác</t>
  </si>
  <si>
    <t xml:space="preserve">Sở Lao động - Thương binh và Xã hội </t>
  </si>
  <si>
    <t>TT Công tác xã hội</t>
  </si>
  <si>
    <t xml:space="preserve">Chi sự nghiệp kinh tế </t>
  </si>
  <si>
    <t>Khuyến công (Sở CT)</t>
  </si>
  <si>
    <t>Sự nghiệp nông nghiệp và kiểm lâm</t>
  </si>
  <si>
    <t>Chi cục chăn nuôi thú y</t>
  </si>
  <si>
    <t>BQL rừng phòng hộ Sông Đà</t>
  </si>
  <si>
    <t>TT Khuyến nông - khuyến ngư</t>
  </si>
  <si>
    <t>TT giống cây trồng, vật nuôi và thủy sản</t>
  </si>
  <si>
    <t>TT nước sinh hoạt và vệ sinh nông thôn</t>
  </si>
  <si>
    <t>Ban chỉ huy PCLB &amp;TKCN</t>
  </si>
  <si>
    <t>Chi cục thủy sản</t>
  </si>
  <si>
    <t>BQL khu bảo tồn thiên nhiên phu canh</t>
  </si>
  <si>
    <t>BQL Khu bảo tồn hang kia - pà cò</t>
  </si>
  <si>
    <t>BQL Khu bảo tồn thiên nhiên thượng tiến</t>
  </si>
  <si>
    <t>BQL khu bảo tồn thiên nhiên - ngổ luông</t>
  </si>
  <si>
    <t>Chi cục quản lý chất lượng NLTS</t>
  </si>
  <si>
    <t>Sự nghiệp giao thông (Sở Giao thông vận tải)</t>
  </si>
  <si>
    <t>Chi công tác quy hoạch</t>
  </si>
  <si>
    <t>SXD: Quy hoạch chung xây dựng Khu du lịch quốc gia hồ Hòa Bình, tỉnh Hòa Bình đến năm 2035</t>
  </si>
  <si>
    <t>BQLDA ĐTXD DD&amp;CN: QH chi tiết XD tỷ lệ 1/500 khu chức năng Quỳnh Lâm, TP HB</t>
  </si>
  <si>
    <t>BQLDA ĐTXD DD&amp;CN: Quy hoạch chi tiết xây dựng tỷ lệ 1/500 Dự án đầu tư cơ sở hạ tầng tạo quỹ đất phục vụ phát triển đô thị trên địa bàn thành phố Hòa Bình</t>
  </si>
  <si>
    <t xml:space="preserve">Cấp bù thủy lợi phí </t>
  </si>
  <si>
    <t>Cải tạo, sửa chữa hồ Tráng Đụn, xã Bình Cảng, huyện Lạc Sơn</t>
  </si>
  <si>
    <t>Cải tạo, sửa chữa hồ Khang Mời, xã Yên Mông, TPHB</t>
  </si>
  <si>
    <t>Sửa chữa, nâng cấp bai Bo, thị trấn Bo, huyện Kim Bôi</t>
  </si>
  <si>
    <t>Sở Tài nguyên và Môi trường (Kinh phí thành lập bản đồ hành chính các huyện, thành phố; Bản đồ Atlas; Kiểm kê đất đai ; KP điều tra, đánh giá hiện trạng xả nước thải vào nguồn nước trên địa bàn tỉnh, quản lý hoạt động xả nước thải vào nguồn nước ,,,)</t>
  </si>
  <si>
    <t>Sở NN&amp;PTNT: Kinh phí thực hiện giao đất, giao rừng, cấp giấy chứng nhận quyền sử dụng đất (BQL rừng phòng hộ 1036317)</t>
  </si>
  <si>
    <t>Kinh phí Nhà nước đặt hàng các đơn vị sự nghiệp</t>
  </si>
  <si>
    <t>Trung tâm lưu trữ lịch sử</t>
  </si>
  <si>
    <t>Trung tâm giống</t>
  </si>
  <si>
    <t>Trung tâm nước sạch</t>
  </si>
  <si>
    <t>TT phát triển quỹ đất</t>
  </si>
  <si>
    <t>Trung tâm phát triển quỹ đất</t>
  </si>
  <si>
    <t xml:space="preserve"> -</t>
  </si>
  <si>
    <t xml:space="preserve">Liên minh hợp tác xã: Xúc tiến thương mại, mở rộng thị trường tiêu thụ sản phẩm của các HTX </t>
  </si>
  <si>
    <t>Đối ứng chi Xây dựng nông thôn mới, hỗ trợ phát triển sản xuất ngành nông nghiệp</t>
  </si>
  <si>
    <t xml:space="preserve">Đề án điều tra xây dựng bản đồ thổ nhưỡng và phân tích thích nghi đất sản xuất nông nghiệp trên địa bàn tỉnh Hòa Bình </t>
  </si>
  <si>
    <t xml:space="preserve">XD phương án quản lý rừng bền vững khu bảo tồn thiên nhiên Hang kia-Pà Cò; Phu Canh; NGọc Sơn - Ngổ Luông; Thượng Tiến, tỉnh Hòa Bình giai đoạn 2021-2030 ( Chi Cục Kiểm Lâm)
</t>
  </si>
  <si>
    <t>Đề án XD khung giá rừng trên địa bàn tỉnh Hòa Bình (Chi Cục Kiểm Lâm)</t>
  </si>
  <si>
    <t xml:space="preserve">Đề án Khuyến nông trọng điểm (Trung tâm khuyến nông) </t>
  </si>
  <si>
    <t>KP hỗ trợ chứng nhận VietGap (Chi Cục quản lý chất lượng nông sản)</t>
  </si>
  <si>
    <t>Kinh phí phân tích mẫu nông lâm thủy sản (Chi Cục quản lý chất lượng nông sản)</t>
  </si>
  <si>
    <t>KP quan trắc môi trường (Chi cục Thủy Sản)</t>
  </si>
  <si>
    <t>Kp căm mốc giới (BQL phòng hộ rừng Sông Đà)</t>
  </si>
  <si>
    <t>KP xây dựng tiêu chuẩn cư sở chất lượng cây đầu dòng (Chi cục trông trọt và BVTV)</t>
  </si>
  <si>
    <t>Chi sự nghiệp Môi trường</t>
  </si>
  <si>
    <t>BQL các khu công nghiệp (309)</t>
  </si>
  <si>
    <t>Sở Tài nguyên &amp;Môi trường (309)</t>
  </si>
  <si>
    <t>Ngành Y tế (278)</t>
  </si>
  <si>
    <t>Sở Văn hoá, Thể thao và Du lịch</t>
  </si>
  <si>
    <t>Quản lý hành chính</t>
  </si>
  <si>
    <t>Quản lý nhà nước</t>
  </si>
  <si>
    <t>Văn phòng UBND tỉnh</t>
  </si>
  <si>
    <t>Văn phòng Đoàn đại biểu quốc hội và HĐND tỉnh</t>
  </si>
  <si>
    <t>BQL khu công nghiệp tỉnh</t>
  </si>
  <si>
    <t>Ngành Nông nghiệp và Phát triển nông thôn</t>
  </si>
  <si>
    <t>VP Sở Nông nghiệp và Phát triển nông thôn</t>
  </si>
  <si>
    <t>Chi cục PTNT</t>
  </si>
  <si>
    <t>Chi cục thủy lợi</t>
  </si>
  <si>
    <t>Chi cục bảo vệ thực vật</t>
  </si>
  <si>
    <t>Chi cục thú y</t>
  </si>
  <si>
    <t>Chi cục QLCL NLTS</t>
  </si>
  <si>
    <t>VP Chi cục kiểm lâm</t>
  </si>
  <si>
    <t>Đội KL cơ động và PCCC</t>
  </si>
  <si>
    <t>Hạt kiểm lâm TP HB</t>
  </si>
  <si>
    <t>Hạt kiểm lâm Lương Sơn</t>
  </si>
  <si>
    <t>Hạt kiểm lâm Đà Bắc</t>
  </si>
  <si>
    <t>Hạt kiểm lâm Mai Châu</t>
  </si>
  <si>
    <t>Hạt kiểm lâm Tân Lạc</t>
  </si>
  <si>
    <t>Hạt kiểm lâm Lạc Sơn</t>
  </si>
  <si>
    <t>Hạt kiểm lâm Yên Thủy</t>
  </si>
  <si>
    <t>Hạt kiểm lâm Lạc Thủy</t>
  </si>
  <si>
    <t>Hạt kiểm lâm Kim Bôi</t>
  </si>
  <si>
    <t>Hạt kiểm lâm Cao Phong</t>
  </si>
  <si>
    <t>Sở Kế hoạch và Đầu tư</t>
  </si>
  <si>
    <t>Sở KH&amp;CN  (463)</t>
  </si>
  <si>
    <t>Sở Tài chính (463)</t>
  </si>
  <si>
    <t>Sở Xây dựng (463)</t>
  </si>
  <si>
    <t>VP Sở Giao thông vận tải</t>
  </si>
  <si>
    <t>Thanh tra Sở Giao thông vận tải</t>
  </si>
  <si>
    <t>Chi cục Dân số KHHGĐ</t>
  </si>
  <si>
    <t>Chi cục An toàn VSTP</t>
  </si>
  <si>
    <t>Sở LĐTB&amp;XH</t>
  </si>
  <si>
    <t>VP Sở Lao động, TBXH</t>
  </si>
  <si>
    <t>Chi cục phòng chống tệ nạn XH</t>
  </si>
  <si>
    <t>Sở Tài nguyên môi trường (466)</t>
  </si>
  <si>
    <t>VP Sở Tài nguyên môi trường</t>
  </si>
  <si>
    <t>Chi cục Quản lý đất đai</t>
  </si>
  <si>
    <t>VP Sở Nội vụ</t>
  </si>
  <si>
    <t>Ban thi đua khen thưởng</t>
  </si>
  <si>
    <t>Chi cục Văn thư lưu trữ</t>
  </si>
  <si>
    <t>Sở Thông tin truyền thông</t>
  </si>
  <si>
    <t>Sở Ngoại vụ</t>
  </si>
  <si>
    <t>Chi ngân sách đảng</t>
  </si>
  <si>
    <t>Tổ chức chính trị xã hội</t>
  </si>
  <si>
    <t xml:space="preserve">Tỉnh đoàn </t>
  </si>
  <si>
    <t>Hội liên hiệp phụ nữ</t>
  </si>
  <si>
    <t>Ủy ban Mặt trận Tổ quốc Việt Nam tỉnh</t>
  </si>
  <si>
    <t>Hội nông dân</t>
  </si>
  <si>
    <t>Hội cựu chiến binh</t>
  </si>
  <si>
    <t>Tổ chức chính trị - xã hội - nghề nghiệp</t>
  </si>
  <si>
    <t>Hội chữ thập đỏ</t>
  </si>
  <si>
    <t>Hội người cao tuổi</t>
  </si>
  <si>
    <t>Hội đông y</t>
  </si>
  <si>
    <t>Hội Văn học nghệ thuật</t>
  </si>
  <si>
    <t>Hội Nhà báo</t>
  </si>
  <si>
    <t>Báo Văn nghệ</t>
  </si>
  <si>
    <t>Hội Khuyến học</t>
  </si>
  <si>
    <t>Liên hiệp hội KHKT</t>
  </si>
  <si>
    <t>Hội Luật gia</t>
  </si>
  <si>
    <t>Hội Nạn nhân chất độc da cam và dioxin</t>
  </si>
  <si>
    <t>Hội Bảo trợ người tàn tật và trẻ mồ côi</t>
  </si>
  <si>
    <t>Hội Cựu thanh niên xung phong</t>
  </si>
  <si>
    <t>Quỹ phát triển KHCN tỉnh</t>
  </si>
  <si>
    <t>Hội người mù</t>
  </si>
  <si>
    <t>Quỹ bảo vệ môi trường</t>
  </si>
  <si>
    <t>Chi cục phát triển nông thôn</t>
  </si>
  <si>
    <t>Chi khác</t>
  </si>
  <si>
    <t>Chi đối ứng các dự án ODA</t>
  </si>
  <si>
    <t>KP đối ứng Dự án QL bảo tồn tài nguyên thiên nhiên bền vững (SNN)</t>
  </si>
  <si>
    <t>KP đối ứng chương trình mở rộng vệ sinh nước sạch nông thôn dựa trên kết quả vay vốn ngân hàng thế giới</t>
  </si>
  <si>
    <t>Sở Y tế (3028859_Ban điều hành dự án)</t>
  </si>
  <si>
    <t>Sở Giaó dục và Đào tạo (1066154)</t>
  </si>
  <si>
    <t>Sở Nông nghiệp và Phát triển nông thôn (TTNS 417trđ (1036543); VPS 16,7(1036791)</t>
  </si>
  <si>
    <t>KP đối ứng dự án cải thiện vệ sinh và nước sạch  CHOBA giai đoạn 3 (Hội LHPN)</t>
  </si>
  <si>
    <t>Chi từ nguồn thu hồi sau thanh tra và xử phạt vi phạm hành chính</t>
  </si>
  <si>
    <t>Trạm kiểm tra tải trọng xe lưu động trên đường bộ tỉnh Hoà Bình</t>
  </si>
  <si>
    <t>Sở Thông tin và Truyền thông</t>
  </si>
  <si>
    <t>Sở Nông nghiệp và Phát triển nông thôn</t>
  </si>
  <si>
    <t>Hỗ trợ Văn phòng Đoàn đại biểu quốc hội</t>
  </si>
  <si>
    <t>Hỗ trợ Liên đoàn lao động tỉnh</t>
  </si>
  <si>
    <t>Hỗ trợ Viện kiểm sát nhân dân tỉnh</t>
  </si>
  <si>
    <t>Hỗ trợ Tòa án nhân dân tỉnh</t>
  </si>
  <si>
    <t>Hỗ trợ Kho bạc nhà nước</t>
  </si>
  <si>
    <t>Hỗ trợ Cục thuế</t>
  </si>
  <si>
    <t>Hỗ trợ Hội bảo trợ quyền lợi người tiêu dùng</t>
  </si>
  <si>
    <t>Hỗ trợ Câu lạc bộ hưu trí</t>
  </si>
  <si>
    <t>Hỗ trợ Cục quản lý thị trường</t>
  </si>
  <si>
    <t>Hỗ trợ Cục thống kê</t>
  </si>
  <si>
    <t>Văn phòng điều phối CT MTQG Xây dựng nông thôn mới</t>
  </si>
  <si>
    <t>Chi hoạt động của Ban An toàn giao thông</t>
  </si>
  <si>
    <t>Cải tạo, sữa chữa trụ sở BQL dự án đầu tư xây dựng các công trình dân dụng và công nghiệp</t>
  </si>
  <si>
    <t>Chi tổ chức bầu cử</t>
  </si>
  <si>
    <t>Đài phát thanh truyền hình</t>
  </si>
  <si>
    <t>Liên đoàn lao động</t>
  </si>
  <si>
    <t>Văn phòng HĐND tỉnh</t>
  </si>
  <si>
    <t>Báo Hòa Bình</t>
  </si>
  <si>
    <t>Chi khác còn lại</t>
  </si>
  <si>
    <t>Sở Nông nghiệp và PTNT (DA tăng cường quản lý thiên nhiên bền vững)</t>
  </si>
  <si>
    <t>Hỗ trợ Hiệp hội doanh nghiệp tỉnh</t>
  </si>
  <si>
    <t>Ban Thi đua khen thưởng (SNV)</t>
  </si>
  <si>
    <t>Ban quản lý dự án các khu công nghiệp</t>
  </si>
  <si>
    <t>Sở Văn hoá, Thể thao và Du lịch (Bảo tàng tỉnh)</t>
  </si>
  <si>
    <t>Sở Văn hoá, Thể thao và Du lịch (Trung tâm VHĐA))</t>
  </si>
  <si>
    <t>Uỷ ban Mặt trận Tổ quốc Việt Nam tỉnh</t>
  </si>
  <si>
    <t>Hội cựu chiến binh (40tr kp bầu cử)</t>
  </si>
  <si>
    <t>Sở Tài nguyên và Môi trường (Văn phòng Đăng ký quyền sử dụng đất)</t>
  </si>
  <si>
    <t>Sở Y tế (Chi cục VSAT thực phẩm)</t>
  </si>
  <si>
    <t>Sở Y tế (TTYT huyện Đà Bắc)</t>
  </si>
  <si>
    <t>Sở Y tế (CDC)</t>
  </si>
  <si>
    <t>Sở Y tế (BQL sáng kiến khu vực ngăn chặn và loại trừ sốt rét kháng thuốc)</t>
  </si>
  <si>
    <t>Liên minh Hợp tác xã</t>
  </si>
  <si>
    <t>Câu lạc bộ hưu trí</t>
  </si>
  <si>
    <t>Cục Thống kê</t>
  </si>
  <si>
    <t>Liên hiệp hội Khoa học Kỹ thuật</t>
  </si>
  <si>
    <t>Hội Cựu Thanh niên xung phong</t>
  </si>
  <si>
    <t>Trung tâm Trợ giúp pháp lý</t>
  </si>
  <si>
    <t>Hội bảo vệ người tiêu dùng</t>
  </si>
  <si>
    <t>Tỉnh đoàn Thanh niên</t>
  </si>
  <si>
    <t>Trung tâm xúc tiến đầu tư, thương mại và du lịch</t>
  </si>
  <si>
    <t>Ban quản lý dự án các khu công nghiệp (TT phát triển hạ tầng dịch vụ KCN)</t>
  </si>
  <si>
    <t>Sở Công thương ( Trung tâm khuyến công)</t>
  </si>
  <si>
    <t>Sở Xây dựng</t>
  </si>
  <si>
    <t>Sở Lao động, TBXH</t>
  </si>
  <si>
    <t>Trường Cao đẳng KTKT</t>
  </si>
  <si>
    <t>Trường Cao đẳng KTKTCN</t>
  </si>
  <si>
    <t>Ngành Giáo dục và Đào tạo</t>
  </si>
  <si>
    <t>Sự nghiệp khác</t>
  </si>
  <si>
    <t>Các đơn vị sự nghiệp trực thuộc Sở Tư pháp</t>
  </si>
  <si>
    <t>Đơn vị sự nghiệp trực thuộc Văn phòng UBND tỉnh</t>
  </si>
  <si>
    <t>Các đơn vị sự nghiệp trực thuộc Sở Công thương</t>
  </si>
  <si>
    <t>Đơn vị sự nghiệp trực thuộc Sở Lao động thương binh xã hội</t>
  </si>
  <si>
    <t>Đơn vị sự nghiệp trực thuộc Hội Nông dân</t>
  </si>
  <si>
    <t>Các đơn vị sự nghiệp trực thuộc Sở Tài nguyên và Môi trường</t>
  </si>
  <si>
    <t>Đơn vị sự nghiệp trực thuộc Sở Thông tin và Truyền thông</t>
  </si>
  <si>
    <t>Đơn vị thuộc Sở Nội vụ</t>
  </si>
  <si>
    <t>Đơn vị thuộc Ban Dân tộc</t>
  </si>
  <si>
    <t>Ban quản lý các dự án ODA tỉnh</t>
  </si>
  <si>
    <t>Trung tâm xúc tiến đầu tư Thương mại và Du lịch</t>
  </si>
  <si>
    <t>Nguồn thực hiện cải cách tiền lương và các chế độ, chính sách</t>
  </si>
  <si>
    <t>Quy hoạch đo đạc bản đồ địa chính và điều chỉnh quy hoạch dất</t>
  </si>
  <si>
    <t>Bổ sung chi phí thẩm tra phê duyệt quyết toán</t>
  </si>
  <si>
    <t>Cải tạo SC nhà lớp học 8 phòng  trường PTDTNT THCS THPT huyện Kim Bôi</t>
  </si>
  <si>
    <t>CT, SC phòng bộ môn Trường DTNT THCS và THPT huyện Cao Phong</t>
  </si>
  <si>
    <t xml:space="preserve">Cải tạo nhà lam, việc ,nâng cấp phòng học bộ môn trường phổ thông DTNT THCS và THPT huyện Lạc Sơn </t>
  </si>
  <si>
    <t>XD bổ sung nhà ký túc xá, nhà bếp, ăn của trường DTNT THCS&amp;THPT, huyện Tân Lạc</t>
  </si>
  <si>
    <t xml:space="preserve">Trường phổ thông DTNT THCS &amp; THPT , huyện Đà Bắc </t>
  </si>
  <si>
    <t xml:space="preserve">XD hệ thống biển báo địa giới hành chính </t>
  </si>
  <si>
    <t xml:space="preserve">Tu bổ tôn tạo di tích khu căn cứ cách mạng Mường Diềm, xã Trung thành, huyện Đà Bắc </t>
  </si>
  <si>
    <t>Hỗ trợ Hội Liên hiệp phụ nữ</t>
  </si>
  <si>
    <t>Đề án giảm thiểu tình trạng tảo hôn và hôn nhân cận huyết</t>
  </si>
  <si>
    <t>Chi từ nguồn tiền phạt vi phạm hành chính trong lĩnh vực an toàn giao thông</t>
  </si>
  <si>
    <t>Ban An toàn giao thông tỉnh</t>
  </si>
  <si>
    <t>Kinh phí quản lý bảo trì đường bộ</t>
  </si>
  <si>
    <t>CTMT Giáo dục vùng núi, vùng dân tộc thiểu số, vùng khó khăn</t>
  </si>
  <si>
    <t>CTMT Phát triển lâm nghiệp</t>
  </si>
  <si>
    <t>Chi trả lãi vay</t>
  </si>
  <si>
    <t>1</t>
  </si>
  <si>
    <t>Văn phòng Hội đồng nhân dân</t>
  </si>
  <si>
    <t>Trang thiết bị nội thất Trụ sở Văn phòng Đoàn đại biểu quốc hội và Hội đồng nhân dân tỉnh</t>
  </si>
  <si>
    <t>2</t>
  </si>
  <si>
    <t>Văn phòng Ủy ban nhân dân</t>
  </si>
  <si>
    <t>Công trình: Hạ tầng kỹ thuật Trung tâm Hành chính - Chính trị, tỉnh Hoà Bình</t>
  </si>
  <si>
    <t>Cải tạo nhà làm việc cũ của Ban Tuyên giáo và Ban Dân vận Tỉnh ủy thành trụ sở Trung tâm hành chính công tỉnh Hòa Bình</t>
  </si>
  <si>
    <t>Hạ tầng Trung tâm hành chính - chính trị tỉnh Hòa Bình (Giai đoạn II)</t>
  </si>
  <si>
    <t>Xây dựng nhà ở cảnh sát bảo vệ (Trung đội 3, Đại đội cảnh sát và mục tiêu), Phòng Cảnh sát cơ động, Công an tỉnh Hòa Bình</t>
  </si>
  <si>
    <t>3</t>
  </si>
  <si>
    <t>Dự án đầu tư xây dựng vùng hạ lưu đập thuỷ điện Hoà Bình giai đoạn I</t>
  </si>
  <si>
    <t>Công trình Đường Mỏ Đá số 8-xóm Tháu, xã Thái Thịnh, thành phố Hoà Bình đi xóm Nưa, xã Vầy Nưa, huyện Đà Bắc tỉnh Hoà Bình</t>
  </si>
  <si>
    <t>Dự án tái định cư tại đội 4, Nông trường 2/9, (Tiểu dự án số 03) xã Yên Nghiệp, huyện Lạc Sơn, tỉnh Hoà Bình</t>
  </si>
  <si>
    <t>Dự án bảo vệ và phát triển rừng huyện Lương Sơn, tỉnh Hoà Bình</t>
  </si>
  <si>
    <t>Công trình: Kè chống sạt lở bờ sông Bùi đoạn thị trấn Lương Sơn, huyện Lương Sơn, tỉnh Hòa Bình</t>
  </si>
  <si>
    <t>Công trình: Xây dựng công trình hồ Tiêu Hội xã Tân Thành, huyện Lương Sơn, tỉnh Hoà Bình</t>
  </si>
  <si>
    <t>Công trình: Tiểu dự án số 01 xây dựng khu tái định cư tại Đội 4, Công ty TNHH một thành viên Sông Bôi, xã Đồng Tâm, huyện Lạc Thủy, tỉnh Hòa Bình</t>
  </si>
  <si>
    <t>Công trình: Cải tạo, nâng cấp đường Tân Mai - Tân Dân, huyện Mai Châu, tỉnh Hòa Bình</t>
  </si>
  <si>
    <t>Dự án Phát triển cơ sở hạ tầng nông thôn bền vững các tỉnh miền núi phía Bắc tỉnh Hoà Bình</t>
  </si>
  <si>
    <t>Dự án mở rộng mặt đê Đà Giang kết hợp làm đường giao thông hai bờ sông Đà, thành phố Hòa Bình, tỉnh Hòa Bình</t>
  </si>
  <si>
    <t>Công trình: Đường xã Thái Thịnh - xóm Bích, xóm Trụ</t>
  </si>
  <si>
    <t>Dự án: Tăng cường năng lực hệ thống sản xuất giống lúa nhân dân tỉnh Hòa Bình, giai đoạn 2010-2015</t>
  </si>
  <si>
    <t>Công trình: Sửa chữa cấp bách hồ Vưng, xã Đông Lai, huyện Tân Lạc, tỉnh Hòa Bình</t>
  </si>
  <si>
    <t>Cải thiện nông nghiệp có tưới (WB7)</t>
  </si>
  <si>
    <t>Dự án bảo vệ và phát triển rừng huyện Đà Bắc, tỉnh Hòa Bình giai đoạn 2011 - 2020.</t>
  </si>
  <si>
    <t>Dự án Bảo vệ và phát triển rừng huyện Cao Phong, tỉnh Hòa Bình giai đoạn 2011-2020</t>
  </si>
  <si>
    <t>Dự án bảo vệ và phát triển rừng huyện Lạc Sơn, tỉnh Hòa Bình giai doan 2011 - 2020</t>
  </si>
  <si>
    <t>Dự án bảo vệ phát triển rừng bền vững huyện Tân Lạc, tỉnh Hòa Bình giai đoạn 2011-2020</t>
  </si>
  <si>
    <t>Dự án Bảo vệ và phát triển rừng huyện Kim Bôi giai đoạn 2011-2020</t>
  </si>
  <si>
    <t>Dự án Bảo vệ và phát triển rừng tỉnh Hòa Bình giai đoạn 2011-2020</t>
  </si>
  <si>
    <t>Dự án: Bảo vệ và phát triển rừng thành phố Hoà Bình, tỉnh Hoà Bình giai đoạn 2011 -2020</t>
  </si>
  <si>
    <t>Công trình: Cấp nước sinh hoạt các xóm Mỵ Thanh, Mỵ, Phố Mỵ và xóm Ba Giang xã Mỵ Hòa, huyện Kim Bôi, tỉnh Hòa Bình</t>
  </si>
  <si>
    <t>Dự án bảo vệ và phát triển rừng huyện Mai Châu giai đoạn 2011 -2020</t>
  </si>
  <si>
    <t>Dự án bảo vệ và phát triển rừng huyện Yên Thủy, tỉnh Hòa Bình giai đoạn 2011 - 2020</t>
  </si>
  <si>
    <t>Dự án bảo vệ và phát triển rừng huyện Lạc Thủy giai đoạn 2011 - 2020</t>
  </si>
  <si>
    <t>Công trình: Bến thuyền xã Tân Dân, huyện Mai Châu, tỉnh Hòa Bình</t>
  </si>
  <si>
    <t>Công trình: Nhà làm việc Hạt Kiểm Lâm tại dốc Chum,thị trấn Lương Sơn, huyện Lương Sơn, tỉnh Hòa Bình</t>
  </si>
  <si>
    <t>Đường xóm Đoi đi xóm Nà Bó, xã Tân Mai, huyện Mai Châu, tỉnh Hòa Bình</t>
  </si>
  <si>
    <t>Đường xóm Diềm 1 - xóm Cải, xã Tân Dân, huyện Mai Châu, tỉnh Hòa Bình</t>
  </si>
  <si>
    <t>Đường từ Trung tâm xã đi xóm Ong, xóm Thăm, xã Trung Hòa, huyện Tân Lạc, tỉnh Hòa Bình</t>
  </si>
  <si>
    <t>Đường từ xóm Ngòi, xã Ngòi Hoa đi xã Ba Khan, huyện Mai Châu, tỉnh Hòa Bình</t>
  </si>
  <si>
    <t>Nâng cấp tuyến đường xã Hiền Lương, thị trấn Đà Bắc, huyện Đà Bắc, tỉnh Hòa Bình</t>
  </si>
  <si>
    <t>Đường từ ĐT.433 đi xóm Rằng đến xã Trung Thành - Yên Hòa, huyện Đà Bắc, tỉnh Hòa Bình</t>
  </si>
  <si>
    <t>Đường từ Trung tâm xã Mường Chiềng đi xóm Kế, huyện Đà Bắc, tỉnh Hòa Bình</t>
  </si>
  <si>
    <t>Đường Gốc Thị - xóm Thăm - Chợ Sông, xã Trung Hòa, huyện Tân Lạc, tỉnh Hòa Bình</t>
  </si>
  <si>
    <t>Đường lâm nghiệp kết hợp đường công vụ, đường ranh cản lửa các huyện Lạc Sơn, Lạc Thủy, Tân Lạc, Kỳ Sơn</t>
  </si>
  <si>
    <t>Sửa chữa và nâng cao an toàn đập (WB8)</t>
  </si>
  <si>
    <t>Trụ sở Chi Cục Quản lý chất lượng nông lâm thủy sản</t>
  </si>
  <si>
    <t>Chương trình mở rộng quy mô vệ sinh và nước sinh hoạt dựa trên kết quả</t>
  </si>
  <si>
    <t>Dự án Bảo vệ và Phát triển rừng Khu bảo tồn thiên nhiên Hang Kia Pà Cò giai đoạn 2011-2020</t>
  </si>
  <si>
    <t>Tuyến đường xóm Sộp, xã Phúc Sạn đi xóm Đoi, xã Tân Mai, huyện Mai Châu (nay là tuyến đường xóm Sộp, xã Sơn Thủy đi xóm Nọt, xã Sơn Thủy, huyện Mai Châu)</t>
  </si>
  <si>
    <t>Khắc phục cấp bách sạt lở khu vực tổ 26 phường Đồng Tiến và đoạn cầu Hòa Bình 3, thành phố Hòa Bình</t>
  </si>
  <si>
    <t>Dự án đường trục xã Phú Cường - Gò Lào xã Ba Khan (nay là xã Sơn Thủy), huyện Mai Châu (Đường tỉnh 450 đoạn từ Km0+00 đến Km14+00)</t>
  </si>
  <si>
    <t>Dự án Đường trung tâm xã Đồng Chum đi xã Mường Chiềng, huyện Đà Bắc</t>
  </si>
  <si>
    <t>Dự án Nâng cấp đường liên xã Vầy Nưa - Tiền Phong, huyện Đà Bắc</t>
  </si>
  <si>
    <t>Đường liên xã từ xóm Thung, X.Suối Hoa, H.Tân Lạc đi xóm Dài, X.Bắc Phong, H.Cao Phong (Trước kia là Đường liên xã từ xóm Thung, X.Trung Hòa, H.Tân Lạc đi xóm Chi</t>
  </si>
  <si>
    <t>Dự án Tuyến đường xóm Nà Bó - xóm Cải, xã Tân Thành, huyện Mai Châu (trước là Tuyến đường liên xã Nà Bó, xã Tân Mai - xóm Cải, xã Tân Dân, huyện Mai Châu)</t>
  </si>
  <si>
    <t>4</t>
  </si>
  <si>
    <t>Dự án Phát triển nông thôn đa mục tiêu huyện Đà Bắc, tỉnh Hòa Bình</t>
  </si>
  <si>
    <t>Dự án ODA tỉnh Hoà Bình</t>
  </si>
  <si>
    <t>Mở rộng Bệnh viện đa khoa tỉnh Hòa Bình</t>
  </si>
  <si>
    <t>5</t>
  </si>
  <si>
    <t>Sở Công Thương</t>
  </si>
  <si>
    <t>Dự án Cấp điện nông thôn từ lưới điện Quốc gia tỉnh Hòa Bình</t>
  </si>
  <si>
    <t>Trung tâm hội chợ và triển lãm tỉnh Hòa Binh</t>
  </si>
  <si>
    <t>Tiểu dự án Cấp điện nông thôn từ lưới điện Quốc gia tỉnh Hòa Bình, giai đoạn 2018-2020- EU tài trợ</t>
  </si>
  <si>
    <t>Nâng cấp, cải tạo hệ thống lưới điện khu vực vùng sâu, vùng xa, vùng đặc biệt khó khăn trên địa bàn tỉnh Hòa Bình</t>
  </si>
  <si>
    <t>6</t>
  </si>
  <si>
    <t>Dự án đầu tư Nâng cao năng lực hoạt động của Trung tâm ứng dụng khoa học công nghệ Hòa Bình, giai đoạn 2012 - 2015</t>
  </si>
  <si>
    <t>Công trình: Cải tạo, xây dựng bổ sung kho lưu trữ tài liệu, đề tài, dự án và các hạng mục phụ trợ thuộc Sở Khoa học và Công nghệ</t>
  </si>
  <si>
    <t>Nâng cao năng lực hoạt động cho Trung tâm Kỹ thuật tiêu chuẩn đo lường chất lượng tỉnh Hòa Bình</t>
  </si>
  <si>
    <t xml:space="preserve">Đầu tư tăng cường tiềm lực phục vụ QLNN về KHCN và nâng cao năng lực hoạt động trung tâm ứng dụng thông tin khoa học, công nghệ tỉnh Hòa Bình, giai đoạn </t>
  </si>
  <si>
    <t>7</t>
  </si>
  <si>
    <t>Công trình xây dựng, cải tạo các hạng mục phụ trợ trong khuôn viên Trụ sở Sở Xây dựng</t>
  </si>
  <si>
    <t>Khu trụ sở liên cơ quan tỉnh Hòa Bình</t>
  </si>
  <si>
    <t>8</t>
  </si>
  <si>
    <t>Sở Giao thông - Vận tải</t>
  </si>
  <si>
    <t>Đường Chi Lăng kéo dài (giai đoạn 1), Thành phố Hoà Bình</t>
  </si>
  <si>
    <t>Công trình: Cải tạo, nâng cấp đường tỉnh 433 đoạn Km 0 - Km 23, huyện Đà Bắc, tỉnh Hòa Bình</t>
  </si>
  <si>
    <t>Công trình: Cải tạo, nâng cấp đường tỉnh 431 (Chợ bến - Quán Sơn)</t>
  </si>
  <si>
    <t>Công trình: Đường liên huyện vùng cao Lạc Sơn - Tân Lạc</t>
  </si>
  <si>
    <t>Công trình: Hạ tầng kỹ thuật khu tái định cư dự án cải tạo nâng cấp đường tỉnh 433 đoạn Km0-Km23 thuộc địa bàn phường Tân Hòa và xã Hòa Bình, thành ph</t>
  </si>
  <si>
    <t>Công trình: Cải tạo, nâng cấp đường tỉnh 438B (Khoan Dụ - An Bình), huyện Lạc Thủy, tỉnh Hòa Bình</t>
  </si>
  <si>
    <t>Công trình: Cầu Suối Hoa, Km29+200 đường tỉnh 433</t>
  </si>
  <si>
    <t>Công trình: Cải tạo, nâng cấp đường tỉnh 435</t>
  </si>
  <si>
    <t>Trung tâm đăng kiểm xe cơ giới và Trung tâm đào tạo lái xe hạng A1, Sở Giao thông vận tải</t>
  </si>
  <si>
    <t>Khắc phục sạt lở (bước 2) tại Km5+350, đường tỉnh 448 (Bãi Chạo - Đú Sáng)</t>
  </si>
  <si>
    <t>Cải tạo, nâng cấp đường tỉnh 435, tỉnh Hòa Bình</t>
  </si>
  <si>
    <t>Xây dựng cầu Trắng, thành phố Hòa Bình</t>
  </si>
  <si>
    <t>Đường nối từ Quốc lộ 6 với đường Chi Lăng, thành phố Hòa Bình</t>
  </si>
  <si>
    <t>Xây dựng cầu Hòa Bình 2, thành phố Hòa Bình</t>
  </si>
  <si>
    <t>Cải tạo, nâng cấp đường tỉnh 436 (đoạn Km0+00 – Km7+00)</t>
  </si>
  <si>
    <t>Đường nối từ đường Trần Hưng Đạo đến phường Dân Chủ kết nối với quốc lộ 6</t>
  </si>
  <si>
    <t>Cầu Chum -Km35+045, đường tỉnh 436</t>
  </si>
  <si>
    <t>9</t>
  </si>
  <si>
    <t>Công trình: Trường THPT Tân Lạc, huyện Tân Lạc, tỉnh Hoà Bình</t>
  </si>
  <si>
    <t>Trường Trung học cơ sở và Trung học phổ thông Ngọc Sơn, huyện Lạc Sơn, tỉnh Hòa Bình</t>
  </si>
  <si>
    <t>Dự án Phát triển giáo dục Trung học cơ sở khu vực khó khăn nhất, giai đoạn 2 nguồn vốn ODA vay ADB</t>
  </si>
  <si>
    <t>Nhà thư viện và phòng học bộ môn, Trường THPT Sào Báy, huyện Kim Bôi</t>
  </si>
  <si>
    <t>Nhà lớp học 18 phòng 3 tầng, Trường Trung học phổ thông Đà Bắc</t>
  </si>
  <si>
    <t>Nhà hội trường đa chức năng; nhà học bộ môn Trường Trung học phổ thông chuyên Hoàng Văn Thụ</t>
  </si>
  <si>
    <t>Nhà đa năng và các hạng mục phụ trợ Trường Trung học phổ thông Cộng Hòa, huyện Lạc Sơn</t>
  </si>
  <si>
    <t>Nhà đa năng và các hạng mục phụ trợ Trường Trung học phổ thông Thạch Yên, huyện Cao Phong</t>
  </si>
  <si>
    <t>Nhà đa năng, nhà học bộ môn Trường Trung học phổ thông Quyết Thắng, huyện Lạc Sơn</t>
  </si>
  <si>
    <t>Đầu tư cơ sở vật chất, thiết bị dạy học phát triển Trường thực hành chất lượng cao thuộc Trường Cao đẳng sư phạm Hòa Bình</t>
  </si>
  <si>
    <t>Nhà nội trú 3 tầng, bổ sung 6 phòng học khối THPT và các hạng mục phụ trợ, Trường phổ thông dân tộc nội trú THCS và THPT huyện Lương Sơn</t>
  </si>
  <si>
    <t>Chương trình Mở rộng quy mô vệ sinh và nước sạch nông thôn dựa trên kết quả vốn vay WB</t>
  </si>
  <si>
    <t>Trường THPT Yên Thủy B, huyện Yên Thủy</t>
  </si>
  <si>
    <t>Trường THPT Công nghiệp, thành phố Hòa Bình</t>
  </si>
  <si>
    <t>Trường THPT Thanh Hà, huyện Lạc Thủy</t>
  </si>
  <si>
    <t>Trường THPT Kim Bôi, huyện Kim Bôi</t>
  </si>
  <si>
    <t>Trường Phổ thông Dân tộc nội trú THCS B huyện Đà Bắc</t>
  </si>
  <si>
    <t>10</t>
  </si>
  <si>
    <t>Công trình: Bệnh viện Y học cổ truyền tỉnh Hòa Bình (giai đoạn2)</t>
  </si>
  <si>
    <t>Công trình: Trung tâm Y tế dự phòng huyện Lạc Sơn, tỉnh Hòa Bình</t>
  </si>
  <si>
    <t>Trung tâm Chăm sóc sức khỏe sinh sản tỉnh và Trung tâm Y tế dự phòng tỉnh Hòa Bình</t>
  </si>
  <si>
    <t>Trạm Y tế xã Piềng Vế, huyện Mai Châu</t>
  </si>
  <si>
    <t>Trạm Y tế xã Pù Bin, huyện Mai Châu</t>
  </si>
  <si>
    <t>Trạm Y tế xã Quyết Chiến, huyện Tân Lạc</t>
  </si>
  <si>
    <t>Trạm Y tế xã Độc Lập, huyện Kỳ Sơn</t>
  </si>
  <si>
    <t>Trung tâm Y tế huyện Lạc Thủy</t>
  </si>
  <si>
    <t>Khoa khám bệnh, điều trị liên chuyên khoa và Khoa dược Trung tâm Y tế huyện Tân Lạc</t>
  </si>
  <si>
    <t>Trạm Y tế xã Vĩnh Tiến, huyện Kim Bôi</t>
  </si>
  <si>
    <t>Trạm Y tế xã Đú Sáng, huyện Kim Bôi</t>
  </si>
  <si>
    <t>Trạm Y tế xã Gia Mô, huyện Tân Lạc</t>
  </si>
  <si>
    <t>Trạm Y tế xã Hưng Thi, huyện Lạc Thủy</t>
  </si>
  <si>
    <t>Trạm Y tế xã Khoan Dụ, huyện Lạc Thủy</t>
  </si>
  <si>
    <t>Trạm Y tế xã Lạc Sỹ, huyện Yên Thủy</t>
  </si>
  <si>
    <t>Trạm Y tế xã Ngọc Lâu, huyện Lạc Sơn</t>
  </si>
  <si>
    <t>Xây dựng hạng mục phụ trợ, Trạm y tế xã Đoàn Kết, huyện Đà Bắc</t>
  </si>
  <si>
    <t>Cấp nước và vệ sinh cho Trạm y tế thuộc Chương trình mở rộng quy mô vệ sinh và nước sạch nông thôn dựa trên kết quả vốn vay Ngân hàng thế giới</t>
  </si>
  <si>
    <t>Trạm Y tế xã Chí Đạo, huyện Lạc Sơn</t>
  </si>
  <si>
    <t>Trạm Y tế xã Bình Chân, huyện Lạc Sơn</t>
  </si>
  <si>
    <t>Trạm Y tế xã Tuân Lộ, huyện Tân Lạc</t>
  </si>
  <si>
    <t>Trạm Y tế xã Đa Phúc, huyện Yên Thủy</t>
  </si>
  <si>
    <t>Trạm Y tế xã Yên Quang, huyện Kỳ Sơn</t>
  </si>
  <si>
    <t>Cải tạo, chuyển đổi công năng Nhà điều hành thuộc Bệnh viện đa khoa tỉnh để phục vụ công tác chăm sóc sức khỏe cán bộ tỉnh</t>
  </si>
  <si>
    <t>Dự án "Đầu tư xây dựng và phát triển hệ thống cung ứng dịch vụ y tế tuyến cơ sở" tỉnh Hòa Bình vay vốn Ngân hàng Thế giới</t>
  </si>
  <si>
    <t>Trung tâm Y tế huyện Đà Bắc</t>
  </si>
  <si>
    <t>Trung tâm Y tế huyện Kim Bôi</t>
  </si>
  <si>
    <t>11</t>
  </si>
  <si>
    <t>Mở rộng, nâng cao năng lực Trung tâm Công tác xã hội tỉnh Hòa Bình</t>
  </si>
  <si>
    <t>Cải tạo, nâng cấp Trung tâm giáo dục - Lao động xã hội Lạc Sơn (Nay là cơ sở cai nghiện ma túy số II)</t>
  </si>
  <si>
    <t>Kè chống sạt lở, chỉnh trị dòng chảy, nạo vét gia cố bờ sông Bùi, đoạn qua thị trấn Lương Sơn, huyện Lương Sơn</t>
  </si>
  <si>
    <t>12</t>
  </si>
  <si>
    <t>Sở Văn hóa, Thể thao và Du lịch</t>
  </si>
  <si>
    <t>Công trình: Tu bổ tôn tạo khu di tích lịch sử Nhà tù Hòa Bình</t>
  </si>
  <si>
    <t>Bảo tồn và tôn tạo di tích lịch sử văn hóa đền Thác Bờ, xã Vầy Nưa, huyện Đà Băc, tỉnh Hòa Bình</t>
  </si>
  <si>
    <t>Tu bổ, tôn tạo di tích khảo cổ học Khu mộ cổ Đống Thếch, xã Vĩnh Đồng, huyện Kim Bôi</t>
  </si>
  <si>
    <t>Dự án Nâng cấp, sửa chữa đường đua xe đạp địa hình tỉnh Hòa Bình</t>
  </si>
  <si>
    <t>Công trình cải tạo, sửa chữa trụ sở hội Nông dân cũ thành Thư viện tỉnh</t>
  </si>
  <si>
    <t>13</t>
  </si>
  <si>
    <t>Công trình xây dựng hạ tầng kỹ thuật Trung tâm thương mại và dịch vụ bờ trái Sông Đà, thành phố Hoà Bình, tỉnh Hoà Bình</t>
  </si>
  <si>
    <t>Kiểm định chất lượng tài sản; Bồi thường, hỗ trợ giải phóng mặt bằng, lập quy hoạch tổng thể mặt bằng khu đất Kho II</t>
  </si>
  <si>
    <t>Hạ tầng kỹ thuật khu dân cư mở rộng thị trấn Bo tại xã Hạ Bì, huyện Kim Bôi</t>
  </si>
  <si>
    <t>Thực hiện giải phóng mặt bằng, tạo quỹ đất để đấu giá Khu đất thương mại dịch vụ thuộc Khu đa chức năng Quỳnh Lâm, thành phố Hòa Bình</t>
  </si>
  <si>
    <t>14</t>
  </si>
  <si>
    <t>Xây dựng, thiết lập Đài Truyền thanh xã Cao Răm, huyện Lương Sơn</t>
  </si>
  <si>
    <t>Xây dựng, thiết lập Đài Truyền thanh xã Tân Vinh, huyện Lương Sơn</t>
  </si>
  <si>
    <t>Triển khai số hóa văn bản các cơ quan nhà nước</t>
  </si>
  <si>
    <t>15</t>
  </si>
  <si>
    <t>Đài Truyền hình</t>
  </si>
  <si>
    <t>Mua sắm thiết bị sản xuất chương trình truyền hình theo công nghệ số hóa</t>
  </si>
  <si>
    <t>16</t>
  </si>
  <si>
    <t>Cứng hóa đường bê tông trung tâm xã đi thôn Lài, xã Nánh Nghê (xã Đồng Nghê cũ), huyện Đà Bắc</t>
  </si>
  <si>
    <t>Đường từ trung tâm xã đi thôn Thây Voi (thôn Voi cũ) xã Miền Đồi, huyện Lạc Sơn</t>
  </si>
  <si>
    <t>Đường nội thôn Thung, xã Suối Hoa ( xã Trung Hòa cũ) huyện Tân Lạc</t>
  </si>
  <si>
    <t>Cứng hoá đường nội xóm Cun ra khu sản xuất, xã Cun Pheo, huyện Mai Châu</t>
  </si>
  <si>
    <t>Cứng hoá đường nội xóm Đắt II (đoạn nối tiếp), xã Giáp Đắt, huyện Đà Bắc</t>
  </si>
  <si>
    <t>Cứng hoá đường Suối Tào, xóm Bao, xã Giáp Đắt, huyện Đà Bắc</t>
  </si>
  <si>
    <t>Cứng hoá đường Cỏ lú, xóm Phồn, xã Tân Pheo, huyện Đà Bắc</t>
  </si>
  <si>
    <t>Cứng hoá đường xóm Săng Bờ đi xóm Trê, xã Vầy Nưa, huyện Đà Bắc</t>
  </si>
  <si>
    <t>Cứng hoá đường nội xóm Táu nà, xã Cun Pheo, huyện Mai Châu</t>
  </si>
  <si>
    <t>Đường nội thôn Thung, xã Suối Hoa, huyện Tân Lạc</t>
  </si>
  <si>
    <t>Cứng hoá đường bê tông trung tâm xã đi thôn Lài, xã Nánh Nghê, huyện Đà Bắc (2 tuyến: Tuyến T1, Tuyến T2)</t>
  </si>
  <si>
    <t>17</t>
  </si>
  <si>
    <t>Ban quản lý khu công nghiệp</t>
  </si>
  <si>
    <t>Đường trục chính khu công nghiệp Mông Hóa, huyện Kỳ Sơn, tỉnh Hòa Bình</t>
  </si>
  <si>
    <t>Trạm xử lý nước thải Khu công nghiệp Bờ trái Sông Đà</t>
  </si>
  <si>
    <t>Đường vào khu công nghiệp Yên Quang, huyện Kỳ Sơn, tỉnh Hòa Bình</t>
  </si>
  <si>
    <t>Đường nối cao tốc Hòa Lạc - Hòa Bình với khu công nghiệp Yên Quang , Thành phố Hòa Bình</t>
  </si>
  <si>
    <t>Tuyến đường gom và nút giao vào khu công nghiệp Lạc Thịnh huyện Lạc Thủy</t>
  </si>
  <si>
    <t>18</t>
  </si>
  <si>
    <t>Hệ thống hội nghị trực tuyến của Tỉnh ủy Hòa Bình</t>
  </si>
  <si>
    <t xml:space="preserve">Trung tâm tích hợp dữ liệu chung của Tỉnh ủy, ứng dụng CNTT, số hóa dữ liệu văn bản lưu trữ cho các cơ quan, các tổ chức đảng, các tổ chức chính trị x </t>
  </si>
  <si>
    <t>19</t>
  </si>
  <si>
    <t>Uỷ ban nhân dân các huyện, thành phố</t>
  </si>
  <si>
    <t xml:space="preserve"> Tỉnh chi BSNS  Mã số các dự án đầu tư xây dựng cơ bản đặc biệt thuộc Bộ Công an</t>
  </si>
  <si>
    <t xml:space="preserve"> Tỉnh chi BSNS  Dự án khẩn cấp xây dựng hạ tầng kỹ thuật khu tái định cư di dân vùng sạt lở đất tại xã Hòa Bình, thành phố Hòa Bình</t>
  </si>
  <si>
    <t xml:space="preserve"> Tỉnh chi BSNS  Công trình cải tạo, nâng cấp đoạn nối từ đường Cù Chính Lan đến đầu tuyến đường Trần Hưng Đạo, thành phố Hoà Bình, tỉnh Hoà Bình</t>
  </si>
  <si>
    <t xml:space="preserve"> Tỉnh chi BSNS  Công trình đường Phùng Hưng, phường Tân Hoà, thành phố Hoà Bình.</t>
  </si>
  <si>
    <t xml:space="preserve"> Tỉnh chi BSNS  Công trình Đường nội thị thị trấn Đà Bắc, huyện Đà Bắc, tỉnh Hoà Bình</t>
  </si>
  <si>
    <t xml:space="preserve"> Tỉnh chi BSNS  Dự án thoát nước và xử lý nước thải ODA Cộng Hoà Liên Bang Đức, thành phố Hoà Bình, tỉnh Hoà Bình</t>
  </si>
  <si>
    <t xml:space="preserve"> Tỉnh chi BSNS  Công trình: Di chuyển và xây dựng nghĩa trang Liệt sỹ chiến dịch Hoà Bình thành phố Hoà Bình, tỉnh Hoà Bình</t>
  </si>
  <si>
    <t xml:space="preserve"> Tỉnh chi BSNS  Công trình: Kè chống sạt lở, ổn định dân cư khu vực chợ Bến, xã Cao Thắng, huyện Lương Sơn, tỉnh Hòa Bình</t>
  </si>
  <si>
    <t xml:space="preserve"> Tỉnh chi BSNS  Công trình: Xây dựng công trình hồ Tiêu Hội xã Tân Thành, huyện Lương Sơn, tỉnh Hoà Bình</t>
  </si>
  <si>
    <t xml:space="preserve"> Tỉnh chi BSNS  Công trình: Hồ Kem xã Địch Giáo, huyện Tân Lạc, tỉnh Hòa Bình</t>
  </si>
  <si>
    <t xml:space="preserve"> Tỉnh chi BSNS  Công trình: Trung tâm dạy nghề, huyện Yên Thuỷ, tỉnh Hoà Bình</t>
  </si>
  <si>
    <t xml:space="preserve"> Tỉnh chi BSNS  Công trình: Khu tái định cư và ổn định dân cư khu 3, khu 4 và khu 5 thị trấn Kỳ Sơn, huyện Kỳ Sơn, tỉnh Hoà Bình</t>
  </si>
  <si>
    <t xml:space="preserve"> Tỉnh chi BSNS  Công trinh: Đường xóm Trầm - Diều Nọi, xã Tân Minh, huyện Đà Bắc, tỉnh Hòa Bình</t>
  </si>
  <si>
    <t xml:space="preserve"> Tỉnh chi BSNS  Hợp phần Phát triển kinh tế huyện - Ban quản lý Dự án Giảm nghèo huyện Mai Châu giai đoạn II</t>
  </si>
  <si>
    <t xml:space="preserve"> Tỉnh chi BSNS  Công trình: Hạ tầng khu Nghĩa địa xóm Trung Mường 1, Trung Mường 2, xã Yên Quang, huyện Kỳ Sơn, tỉnh Hòa Bình</t>
  </si>
  <si>
    <t xml:space="preserve"> Tỉnh chi BSNS  Công trình: Hạ tầng khu tái định cư thị trấn Kỳ Sơn, huyện Kỳ Sơn, tỉnh Hòa Bình</t>
  </si>
  <si>
    <t xml:space="preserve"> Tỉnh chi BSNS  Công trình: Điện xã Tân Mỹ, huyện Lạc Sơn, tỉnh Hòa Bình</t>
  </si>
  <si>
    <t xml:space="preserve"> Tỉnh chi BSNS  Công trình: Cải tạo, sửa chữa cấp bách hồ Bai Cái, xã Đoàn Kết, huyện Yên Thủy, tỉnh Hòa Bình</t>
  </si>
  <si>
    <t xml:space="preserve"> Tỉnh chi BSNS  Công trình: Xây dựng kè chống sạt lở bảo vệ khu dân cư xóm Thanh Mai và Khu vực chợ Co Lương xã Vạn Mai, huyện Mai Châu, tỉnh Hoà Bình</t>
  </si>
  <si>
    <t xml:space="preserve"> Tỉnh chi BSNS  Dự án khẩn cấp di dân tái định cư vùng sạt lở đất tại xóm Túp, xã Tiền Phong, huyện Đà Bắc</t>
  </si>
  <si>
    <t xml:space="preserve"> Tỉnh chi BSNS  Dự án khẩn cấp di dân tái định cư vùng sạt lở đất tại Bưa Cốc, xã Suối Nánh, huyện Đà Bắc</t>
  </si>
  <si>
    <t xml:space="preserve"> Tỉnh chi BSNS  Dự án khẩn cấp di dân tái định cư vùng sạt lở đất tại xóm Kế, xã Mường Chiềng, huyện Đà Bắc</t>
  </si>
  <si>
    <t xml:space="preserve"> Tỉnh chi BSNS  Dự án khẩn cấp di dân tái định cư vùng sạt lở đất tại xóm Nhạp, xã Đồng Ruộng, huyện Đà Bắc</t>
  </si>
  <si>
    <t xml:space="preserve"> Tỉnh chi BSNS  Công trình: Điện xã Hương Nhượng, huyện Lạc Sơn, tỉnh Hoà Bình</t>
  </si>
  <si>
    <t xml:space="preserve"> Tỉnh chi BSNS  Công trình: Ngầm Nam Thành, xã Nam Phong, huyện Cao Phong, tỉnh Hòa Bình</t>
  </si>
  <si>
    <t xml:space="preserve"> Tỉnh chi BSNS  Công trình: Đường Ân nghĩa- Bình Chân, huyện Lạc Sơn, tỉnh Hòa Bình</t>
  </si>
  <si>
    <t xml:space="preserve"> Tỉnh chi BSNS  Công trình: Đường Đông Bắc - Bình Sơn, huyện Kim Bôi, tỉnh Hòa Bình</t>
  </si>
  <si>
    <t xml:space="preserve"> Tỉnh chi BSNS  Công trình: Đường Nguyễn Văn Trỗi và đường lên đồi Ba Vành, thành phố Hòa Bình - giai đoạn 1</t>
  </si>
  <si>
    <t xml:space="preserve"> Tỉnh chi BSNS  Công trình: Đường từ xóm Diềm đi xóm Chiêng, xã Tân Dân, huyện Mai Châu, tỉnh Hòa Bình</t>
  </si>
  <si>
    <t xml:space="preserve"> Tỉnh chi BSNS  Công trình: Sân vận động trung tâm huyện Tân Lạc, tỉnh Hòa Bình</t>
  </si>
  <si>
    <t xml:space="preserve"> Tỉnh chi BSNS  Công trình: Đường Kim Sơn - Nam Thượng, huyện Kim Bôi, tỉnh Hòa Bình</t>
  </si>
  <si>
    <t xml:space="preserve"> Tỉnh chi BSNS  Công trình: Đường Bắc Phong - Bình Thanh, huyện Cao Phong, tỉnh Hòa Bình</t>
  </si>
  <si>
    <t xml:space="preserve"> Tỉnh chi BSNS  Công trình: Kè sạt lở, ổn định dân cư khu vực xóm Mỗ 1, xã Bình Thanh, huyện Cao Phong, tỉnh Hoà Bình</t>
  </si>
  <si>
    <t xml:space="preserve"> Tỉnh chi BSNS  Công trình: Đường đến xã Ngổ Luông, huyện Tân Lạc, tỉnh Hòa Bình</t>
  </si>
  <si>
    <t xml:space="preserve"> Tỉnh chi BSNS  Công trình: Trụ sở làm việc Đảng ủy, HĐND, UBND xã Văn Sơn, huyện Lạc Sơn, tỉnh Hòa Bình</t>
  </si>
  <si>
    <t xml:space="preserve"> Tỉnh chi BSNS  Chương trình đô thị miền núi phía Bắc - Thành phố Hòa Bình</t>
  </si>
  <si>
    <t xml:space="preserve"> Tỉnh chi BSNS  Công trình: Hạ tầng du lịch Hang Luồn, huyện Lạc Thủy, tỉnh Hòa Bình</t>
  </si>
  <si>
    <t xml:space="preserve"> Tỉnh chi BSNS  Công trình: Trạm Y tế xã Liên Sơn, huyện Lương Sơn, tỉnh Hòa Bình</t>
  </si>
  <si>
    <t xml:space="preserve"> Tỉnh chi BSNS  Chống úng, ngập từ Công viên Tuổi Trẻ đến kênh tiêu 20</t>
  </si>
  <si>
    <t xml:space="preserve"> Tỉnh chi BSNS  Công trình: Đường nối từ đường Chi Lăng kéo dài đến đường quy hoạch khu dân cư Bắc Trần Hưng Đạo, thành phố Hòa Bình, tỉnh Hòa Bình</t>
  </si>
  <si>
    <t xml:space="preserve"> Tỉnh chi BSNS  Công trình: Trường tiểu học xã Tân Thành, huyện Lương sơn, tỉnh Hòa Bình</t>
  </si>
  <si>
    <t xml:space="preserve"> Tỉnh chi BSNS  Công trình: Ngầm Chằng Trong xã Đông Phong, huyện Cao Phong, tỉnh Hòa Bình</t>
  </si>
  <si>
    <t xml:space="preserve"> Tỉnh chi BSNS  Dự án Trồng, bảo vệ rừng phòng hộ đầu nguồn và kết hợp xây dựng cơ sở hạ tầng phòng chống lũ, sạt lở đất, hạn hán, bảo vệ dân cư các xã huyện </t>
  </si>
  <si>
    <t xml:space="preserve"> Tỉnh chi BSNS  Công trình: Trường THCS Vũ Lâm, huyện Lạc Sơn, tỉnh Hòa Bình</t>
  </si>
  <si>
    <t xml:space="preserve"> Tỉnh chi BSNS  Công trình: Đường Liên Phú 3 đi thôn Minh Hải, xã An Lạc, huyện Lạc Thủy, tỉnh Hòa Bình</t>
  </si>
  <si>
    <t xml:space="preserve"> Tỉnh chi BSNS  Công trình: Cải tạo, nâng cấp đường từ ngã ba xóm Ngọc và cảng Hòa Bình đi xóm Tân Lập 1 và Tân Lập 2, xã Trung Minh, thành phố  Hòa Bình</t>
  </si>
  <si>
    <t xml:space="preserve"> Tỉnh chi BSNS  Công trình: Trường tiểu học thị trấn Bo, huyện Kim Bôi, tỉnh Hòa Bình</t>
  </si>
  <si>
    <t xml:space="preserve"> Tỉnh chi BSNS  Công trình: Khu tái định cư  xóm Trung Mường 2, xã Yên Quang (phục vụ GPMB dự án: Đầu tư xây dựng đường Hòa Lạc, thành phố Hòa Bình)</t>
  </si>
  <si>
    <t xml:space="preserve"> Tỉnh chi BSNS  Hạ tầng kỹ thuật cụm công nghiệp Phú Thành II, huyện Lạc Thủy, tỉnh Hòa Bình</t>
  </si>
  <si>
    <t xml:space="preserve"> Tỉnh chi BSNS  Nhà học bộ môn, nhà đa năng và các hạng mục phụ trợ Trường THCS thị trấn Kỳ Sơn, huyện Kỳ Sơn, tỉnh Hòa Bình</t>
  </si>
  <si>
    <t xml:space="preserve"> Tỉnh chi BSNS  Đường cứu hộ, cứu nạn xóm Hạ 2, xã Lạc Sỹ, huyện Yên Thủy, tỉnh Hòa Bình</t>
  </si>
  <si>
    <t xml:space="preserve"> Tỉnh chi BSNS  Nhà văn hóa huyện Yên Thủy, tỉnh Hòa Bình</t>
  </si>
  <si>
    <t xml:space="preserve"> Tỉnh chi BSNS  Đường từ xã Mỵ Hòa, huyện Kim Bôi đi xã Hưng Thi, huyện Lạc Thủy, tỉnh Hòa Bình</t>
  </si>
  <si>
    <t xml:space="preserve"> Tỉnh chi BSNS  Hạ tầng du lịch huyện Lạc Thủy, tỉnh Hòa Bình</t>
  </si>
  <si>
    <t xml:space="preserve"> Tỉnh chi BSNS  Đường từ xã Phú Lão đi xã Liên Hòa, huyện Lạc Thủy, tỉnh Hòa Bình</t>
  </si>
  <si>
    <t xml:space="preserve"> Tỉnh chi BSNS  Đường giao thông xã Noong Luông, huyện Mai Châu, tỉnh Hòa Bình</t>
  </si>
  <si>
    <t xml:space="preserve"> Tỉnh chi BSNS  Đường Cun Pheo - Hang Kia - Quốc lộ 6, huyện Mai Châu, tỉnh Hòa Bình</t>
  </si>
  <si>
    <t xml:space="preserve"> Tỉnh chi BSNS  Đường QH7, QH8, xã Sủ Ngòi, thành phố Hòa Bình, tỉnh Hòa Bình</t>
  </si>
  <si>
    <t xml:space="preserve"> Tỉnh chi BSNS  Đường Lũng Vân - Bắc Sơn - Noong Luông, huyện Tân Lạc, tỉnh Hòa Bình</t>
  </si>
  <si>
    <t xml:space="preserve"> Tỉnh chi BSNS  Hạ tầng phát triển sản xuất vùng cam an toàn tập trung huyện Cao Phong</t>
  </si>
  <si>
    <t xml:space="preserve"> Tỉnh chi BSNS  Dự án đầu tư di dân tái định cư xóm Chầm, xã Yên Lập và kè chống sạt lở ổn định dân cư suối Bưng khu vực xã Thu Phong, xã Đông Phong và thị trân Cao Pho</t>
  </si>
  <si>
    <t xml:space="preserve"> Tỉnh chi BSNS  Đường Đồng Bảng - So Lo, huyện Mai Châu, tỉnh Hòa Bình</t>
  </si>
  <si>
    <t xml:space="preserve"> Tỉnh chi BSNS  Đường Tân Thành - Long Sơn - Hợp Thanh, huyện Lương Sơn, tỉnh Hòa Bình</t>
  </si>
  <si>
    <t xml:space="preserve"> Tỉnh chi BSNS  Nhà nội trú học sinh Trường THPT và các hạng mục phụ trợ xã Yên Hòa, huyện Đà Bắc, tỉnh Hòa Bình</t>
  </si>
  <si>
    <t xml:space="preserve"> Tỉnh chi BSNS  Nhà lớp học Trường Mầm non thuộc Đề án kiên cố hóa trường lớp học và nhà công vụ cho giáo viên huyện Kim Bôi</t>
  </si>
  <si>
    <t xml:space="preserve"> Tỉnh chi BSNS  Đường từ thị trấn Lương Sơn đi xã Cư Yên, huyện Lương Sơn, tỉnh Hòa Bình</t>
  </si>
  <si>
    <t xml:space="preserve"> Tỉnh chi BSNS  Cải tạo, nâng cấp Đường liên xã Lạc Lương -  Lạc Hưng, huyện Yên Thủy, tỉnh Hòa Bình</t>
  </si>
  <si>
    <t xml:space="preserve"> Tỉnh chi BSNS  Đầu tư xây dựng hạ tầng kỹ thuật vùng nuôi trồng thủy sản huyện Lạc Thủy, tỉnh Hòa Bình</t>
  </si>
  <si>
    <t xml:space="preserve"> Tỉnh chi BSNS  Đường nội thị thị trấn Chi Nê (tuyến số 6 và tuyến số 7), huyện Lạc Thủy, tỉnh Hòa Bình</t>
  </si>
  <si>
    <t xml:space="preserve"> Tỉnh chi BSNS  Hạ tầng kỹ thuật khu dân cư và tái định cư xã Trung Minh, thành phố Hòa Bình</t>
  </si>
  <si>
    <t xml:space="preserve"> Tỉnh chi BSNS  Sửa chữa cống tràn Bai Rộc, xã Ngọc Mỹ, huyện Tân Lạc, tỉnh Hòa Bình</t>
  </si>
  <si>
    <t xml:space="preserve"> Tỉnh chi BSNS  Đường từ Quốc lộ 12B - xóm Liên Tiến - Khu quy hoạch sinh thái Vó Ấm, xã Ngọc Lương, huyện Yên Thủy, tỉnh Hòa Bình</t>
  </si>
  <si>
    <t xml:space="preserve"> Tỉnh chi BSNS  Trường tiểu học - Trung học cơ sở Hang Kia B, huyện Mai Châu</t>
  </si>
  <si>
    <t xml:space="preserve"> Tỉnh chi BSNS  Đường từ Quốc lộ 21 đi hạ tầng du lịch Hang Luồn, thị trấn Chi Nê, huyện Lạc Thủy</t>
  </si>
  <si>
    <t xml:space="preserve"> Tỉnh chi BSNS  Kênh mương xóm Tre Thị, xã Trung Bì, huyện Kim Bôi</t>
  </si>
  <si>
    <t xml:space="preserve"> Tỉnh chi BSNS  Nhà lớp học Trường Mầm non và tiểu học thuộc Chương trình kiên cố hóa trường lớp học mầm non, tiểu học cho vùng đồng bào dân tộc vùng sâu, vùng xa huy  </t>
  </si>
  <si>
    <t xml:space="preserve"> Tỉnh chi BSNS  Nâng cấp, cải tạo đường Hoàng Văn Thụ, thành phố Hòa Bình</t>
  </si>
  <si>
    <t xml:space="preserve"> Tỉnh chi BSNS  Đường từ Điện lực Mai Châu đến chân núi Pù Tọc, thị trấn Mai Châu, huyện Mai Châu</t>
  </si>
  <si>
    <t xml:space="preserve"> Tỉnh chi BSNS  Hạ tầng kỹ thuật khu tái định cư dự án cải tạo, nâng cấp đường tỉnh 435 tại phường Thái Bình, thành phố Hòa Bình</t>
  </si>
  <si>
    <t xml:space="preserve"> Tỉnh chi BSNS  Kè chống sạt lở suối Mát Trên, thành phố Hòa Bình</t>
  </si>
  <si>
    <t xml:space="preserve"> Tỉnh chi BSNS  Sửa chữa, nâng cấp hồ Rộc Bách, xã Dân Chủ, thành phố Hòa Bình</t>
  </si>
  <si>
    <t xml:space="preserve"> Tỉnh chi BSNS  Nạo vét, sửa chữa cứng hóa bờ suối Can, tổ 23, 24 phường Đồng Tiến, thành phố Hòa Bình</t>
  </si>
  <si>
    <t xml:space="preserve"> Tỉnh chi BSNS  Sửa chữa, nâng cấp hồ Gốc Sấu, xã Yên Mông, thành phố Hòa Bình</t>
  </si>
  <si>
    <t xml:space="preserve"> Tỉnh chi BSNS  Nhà lớp học trường Mầm non và tiểu học thuộc Chương trình kiên cố hóa trường lớp học mầm non, tiểu học cho vùng đồng bào dân tộc vùng sâu, vùng xa huy  </t>
  </si>
  <si>
    <t xml:space="preserve"> Tỉnh chi BSNS  Trường Trung học cơ sở xã Dân Hòa, huyện Kỳ Sơn</t>
  </si>
  <si>
    <t xml:space="preserve"> Tỉnh chi BSNS  Đường tránh Thanh Nông - Thanh Hà đi đường Hồ Chí Minh, huyện Lạc Thủy</t>
  </si>
  <si>
    <t xml:space="preserve"> Tỉnh chi BSNS  Nhà lớp học Trường Mầm non xã Suối Nánh, huyện Đà Bắc thuộc Chương trình kiên cố hóa trường lớp học sử dụng vốn Trái phiếu Chính phủ dự phòng giai đ</t>
  </si>
  <si>
    <t xml:space="preserve"> Tỉnh chi BSNS  Nhà lớp học Trường Mầm non xã Tân Pheo, huyện Đà Bắc thuộc Chương trình kiên cố hóa trường lớp học sử dụng vốn Trái phiếu Chính phủ dự phòng giai đo  </t>
  </si>
  <si>
    <t xml:space="preserve"> Tỉnh chi BSNS  Nhà lớp học Trường Mầm non xã Tân Minh, huyện Đà Bắc thuộc Chương trình kiên cố hóa trường lớp học sử dụng vốn Trái phiếu Chính phủ dự phòng giai đo  </t>
  </si>
  <si>
    <t xml:space="preserve"> Tỉnh chi BSNS  Nhà lớp học Trường Mầm non xã Đồng Chum, huyện Đà Bắc thuộc Chương trình kiên cố hóa trường lớp học sử dụng vốn Trái phiếu Chính phủ dự phòng giai đ</t>
  </si>
  <si>
    <t xml:space="preserve"> Tỉnh chi BSNS  Nhà lớp học Trường Mầm non xã Đồng Nghê, huyện Đà Bắc thuộc Chương trình kiên cố hóa trường lớp học sử dụng vốn Trái phiếu Chính phủ dự phòng giai  </t>
  </si>
  <si>
    <t xml:space="preserve"> Tỉnh chi BSNS  Nhà lớp học Trường Mầm non xã Mường Tuổng, huyện Đà Bắc thuộc Chương trình kiên cố hóa trường lớp học sử dụng vốn Trái phiếu Chính phủ dự phòng gia</t>
  </si>
  <si>
    <t xml:space="preserve"> Tỉnh chi BSNS  Nhà lớp học Trường Mầm non xã Giáp Đắt, huyện Đà Bắc thuộc Chương trình kiên cố hóa trường lớp học sử dụng vốn Trái phiếu Chính phủ dự phòng giai </t>
  </si>
  <si>
    <t xml:space="preserve"> Tỉnh chi BSNS  Nhà lớp học Trường Mầm non xã Mường Chiềng, huyện Đà Bắc thuộc Chương trình kiên cố hóa trường lớp học sử dụng vốn Trái phiếu Chính phủ dự phòng</t>
  </si>
  <si>
    <t xml:space="preserve"> Tỉnh chi BSNS  Trồng, bảo vệ và phục hồi rừng phòng hộ đầu nguồn sông Bôi và nâng cấp tuyến đê ngăn lũ sông Bôi kết hợp đường giao thông chạy lũ, huyện Lạc Thủy</t>
  </si>
  <si>
    <t xml:space="preserve"> Tỉnh chi BSNS  Nhà lớp học Trường Mầm non xã Kim Tiến, huyện Kim Bôi thuộc Chương trình kiên cố hóa trường lớp học sử dụng vốn Trái phiếu Chính phủ dự phòng</t>
  </si>
  <si>
    <t xml:space="preserve"> Tỉnh chi BSNS  Nhà lớp học Trường Mầm non xã Lập Chiệng, huyện Kim Bôi thuộc Chương trình kiên cố hóa trường lớp học sử dụng vốn Trái phiếu Chính phủ dự phòng</t>
  </si>
  <si>
    <t xml:space="preserve"> Tỉnh chi BSNS  Nhà lớp học Trường Mầm non xã Kim Sơn, huyện Kim Bôi thuộc Chương trình Kiên cố hóa trường lớp học sử dụng vốn Trái phiếu Chính phủ dự phòng</t>
  </si>
  <si>
    <t xml:space="preserve"> Tỉnh chi BSNS  Nhà lớp học Trường Mầm non xã Vĩnh Tiến, huyện Kim Bôi thuộc Chương trình kiên cố hóa trường lớp học sử dụng vốn Trái phiếu Chính phủ dự phòng </t>
  </si>
  <si>
    <t xml:space="preserve"> Tỉnh chi BSNS  Nạo vét, xây kè gia cố bờ suối Ngòi Cả, Phố Ngọc, xã Trung Minh, thành phố Hòa Bình</t>
  </si>
  <si>
    <t xml:space="preserve"> Tỉnh chi BSNS  Cải tạo, nâng cấp đường Lê Thánh Tông (đoạn từ nút giao với đường Nguyễn Văn Trỗi đến nút giao với đường Hòa Bình)</t>
  </si>
  <si>
    <t xml:space="preserve"> Tỉnh chi BSNS  Nhà lớp học bộ môn và các hạng mục phụ trợ, Trường Trung học cơ sở xã Pà Cò, huyện Mai Châu</t>
  </si>
  <si>
    <t xml:space="preserve"> Tỉnh chi BSNS  Mô hình khu xử lý chất thải rắn quy mô liên xã, huyện Yên Thủy</t>
  </si>
  <si>
    <t xml:space="preserve"> Tỉnh chi BSNS  Xây dựng hạ tầng khu tái định cư cho các hộ dân trong khu công nghiệp Mông Hóa</t>
  </si>
  <si>
    <t xml:space="preserve"> Tỉnh chi BSNS  Mua sắm thiết bị sản xuất chương trình truyền hình theo công nghệ số hóa</t>
  </si>
  <si>
    <t xml:space="preserve"> Tỉnh chi BSNS  Xây dựng và nâng cấp hạ tầng du lịch Khu di tích Chùa Tiên, xã Phú Lão, huyện Lạc Thủy, tỉnh Hòa Bình</t>
  </si>
  <si>
    <t xml:space="preserve"> Tỉnh chi BSNS  Đường Cun Pheo - Hang Kia - Quốc lộ 6, huyện Mai Châu</t>
  </si>
  <si>
    <t xml:space="preserve"> Tỉnh chi BSNS  Dự án xây dựng Khu tái định cư tại xóm Táu Nà, xã Cun Pheo, huyện Mai Châu</t>
  </si>
  <si>
    <t xml:space="preserve"> Tỉnh chi BSNS  Hạ tầng kỹ thuật khu tái định cư phục vụ giải phòng mặt bằng Cụm công nghiệp Yên Mông, xã Yên Mông, thành phố Hòa Bình</t>
  </si>
  <si>
    <t xml:space="preserve"> Tỉnh chi BSNS  Tôn tạo di tích Bác Hồ về thăm Tập đoàn Chí Hòa tại xóm Dốc Phấn, xã Lâm Sơn, tỉnh Hòa Bình</t>
  </si>
  <si>
    <t xml:space="preserve"> Tỉnh chi BSNS  Cải tạo nâng cấp đường từ thị trấn Lương Sơn đi xã Tiến Sơn (đoạn tuyến từ xã Liên Sơn đi xã Tiến Sơn), huyện Lương Sơn</t>
  </si>
  <si>
    <t xml:space="preserve"> Tỉnh chi BSNS  Hạ tầng kỹ thuật khu tái định cư cho các hộ dân thuộc diện phải bố trí tái định cư, phục vụ công tác GPMB cầu Hòa Bình 2, tại phường Đồng Tiến, thàn</t>
  </si>
  <si>
    <t xml:space="preserve"> Tỉnh chi BSNS  Nhà lớp học MN và TH thuộc CT KCH trường lớp học MN và TH cho đồng bào DT vùng sâu, vùng xa, H. Tân Lạc, Hòa Bình</t>
  </si>
  <si>
    <t xml:space="preserve"> Tỉnh chi BSNS  Nhà lớp học MN và TH thuộc CT KCH trường lớp học MN, TH vùng đồng bào DT vùng sâu, vũng xa sử dụng vốn DP TPCP ĐTC giai đoạn TH 2016-2020, H. Tân Lạc, Hòa Bình</t>
  </si>
  <si>
    <t xml:space="preserve"> Tỉnh chi BSNS  Kè chống sạt lở, chỉnh trị dòng chảy, nạo vét gia cố bờ sông Bùi, đoạn qua thị trấn Lương Sơn, huyện Lương Sơn</t>
  </si>
  <si>
    <t xml:space="preserve"> Tỉnh chi BSNS  Đường tránh Khu di tích lịch sử Nhà máy in tiền, xã Cố Nghĩa đi xã Liên Hoà, huyện Lạc Thuỷ</t>
  </si>
  <si>
    <t xml:space="preserve"> Tỉnh chi BSNS  Cải tạo, nâng cấp đường giao thông nông thôn Đồng Nội, xã Đồng Tâm, huyện Lạc Thuỷ</t>
  </si>
  <si>
    <t xml:space="preserve"> Tỉnh chi BSNS  Nhà lớp học MN và TH thuộc Chương trình KCHTLH MN, TH cho vùng đồng bào dân tộc, vùng sâu, vùng xa sử dụng vốn dự phòng TPCP đầu tư công giai đoạn trung hạn 20</t>
  </si>
  <si>
    <t xml:space="preserve"> Tỉnh chi BSNS  Dự án cung cấp thiết bị Y tê cho bệnh viện đa khoa huyện Lạc Thuỷ</t>
  </si>
  <si>
    <t xml:space="preserve"> Tỉnh chi BSNS  Khu tái định cư khẩn cấp tập trung tại xóm Suối Nhúng, xã Phúc Sạn ( nay là xã Sơn Thủy ), huyện Mai Châu</t>
  </si>
  <si>
    <t xml:space="preserve"> Tỉnh chi BSNS  Đường 445 đi xóm Hải Cao, xã Hợp Thịnh, huyện Kỳ Sơn</t>
  </si>
  <si>
    <t xml:space="preserve"> Tỉnh chi BSNS  Cấp thoát nước thành phố Hòa Bình (cải tạo nhánh N4, kênh tiêu 20)</t>
  </si>
  <si>
    <t xml:space="preserve"> Tỉnh chi BSNS  Đường Hòa Bình đoạn Km3+600 - Km3+870 và đường Âu Cơ đi cảng Bích Hạ</t>
  </si>
  <si>
    <t xml:space="preserve"> Tỉnh chi BSNS  Mở rộng Trường Chính trị tỉnh</t>
  </si>
  <si>
    <t xml:space="preserve"> Tỉnh chi BSNS  Đường khu dân cư mới QH13, QH13B, QH13C thị trấn Cao Phong, xã Bắc Phong, huyện Cao Phong</t>
  </si>
  <si>
    <t xml:space="preserve"> Tỉnh chi BSNS  Đường Hợp Phong, Cao Phong.</t>
  </si>
  <si>
    <t xml:space="preserve"> Tỉnh chi BSNS  Cải tạo, nâng cấp đường từ ngã 3 Hàng Trạm ra đường Hồ Chí Minh huyện Yên Thuỷ</t>
  </si>
  <si>
    <t xml:space="preserve"> Tỉnh chi BSNS  Dự án di dân tái định cư vùng lũ quét và sạt lở đất tại xóm Hạ 1 xã Lạc Sỹ, huyện Yên Thuỷ</t>
  </si>
  <si>
    <t xml:space="preserve"> Tỉnh chi BSNS  Đường nội thị trấn, thị trấn Mai Châu</t>
  </si>
  <si>
    <t xml:space="preserve"> Tỉnh chi BSNS  Đường xuyên tâm, thị trấn Mai Châu, huyện Mai Châu</t>
  </si>
  <si>
    <t xml:space="preserve"> Tỉnh chi BSNS  Xây dựng khu tái định cư tập trung xã Mường Chiềng, huyện Đà Bắc</t>
  </si>
  <si>
    <t xml:space="preserve"> Tỉnh chi BSNS  Đường thị trấn Đà Bắc - Thanh Sơn, Phú Thọ</t>
  </si>
  <si>
    <t xml:space="preserve"> Tỉnh chi BSNS  Cải tạo, mở rộng nhà làm việc và hạng mục phụ trợ Viện Kiểm sát Nhân dân thành phố Hòa Bình, tỉnh Hòa Bình</t>
  </si>
  <si>
    <t xml:space="preserve"> Tỉnh chi BSNS  Xây dựng Trụ sở Viện kiểm sát nhân dân huyện Mai Châu, tỉnh Hòa Bình</t>
  </si>
  <si>
    <t xml:space="preserve"> Tỉnh chi BSNS  Đường nội thị thị trấn Bo, huyện Kim Bôi</t>
  </si>
  <si>
    <t xml:space="preserve"> Tỉnh chi BSNS  Đường xã Cao Dương - Thanh Sơn, huyện Lương Sơn</t>
  </si>
  <si>
    <t xml:space="preserve"> Tỉnh chi BSNS  Di dân tái định cư khu dân cư xóm Hổ, xã Yên Nghiệp, huyện Lạc Sơn</t>
  </si>
  <si>
    <t xml:space="preserve"> Tỉnh chi BSNS  Đường từ Quốc lộ 6 đến Khu công nghiệp Nhuận Trạch huyện Lương Sơn</t>
  </si>
  <si>
    <t xml:space="preserve"> Tỉnh chi BSNS  Đường Trần Hưng Đạo đến Trung tâm huyện Lương Sơn (Trung tâm hành chính quy hoạch huyện Lương Sơn)</t>
  </si>
  <si>
    <t xml:space="preserve"> Tỉnh chi BSNS  Đường Thượng Cốc - Phú Lương (nay là xã Quyết Thắng)</t>
  </si>
  <si>
    <t xml:space="preserve"> Tỉnh chi BSNS  Cải tạo, nâng cấp đường Chi Nê đi thôn Tân Thành, xã Phú Nghĩa, huyện Lạc Thuỷ, tỉnh Hoà Bình</t>
  </si>
  <si>
    <t xml:space="preserve"> Tỉnh chi BSNS  Đường ngòi hoa- quốc lộ 6, huyện Tân Lạc, tỉnh Hòa Bình</t>
  </si>
  <si>
    <t xml:space="preserve"> Tỉnh chi BSNS  Đường xã Xuân Thủy, huyện Kim Bôi</t>
  </si>
  <si>
    <t xml:space="preserve"> Tỉnh chi BSNS  Đường QH1 (đoạn từ quảng trường Hòa Bình đến đường An Dương Vương) thành phố Hòa Bình</t>
  </si>
  <si>
    <t>20</t>
  </si>
  <si>
    <t>Các Ban QLDA chuyên ngành và các đơn vị khác</t>
  </si>
  <si>
    <t>Mã số các dự án đầu tư xây dựng cơ bản đặc biệt thuộc Bộ Quốc Phòng</t>
  </si>
  <si>
    <t>Công trình kè bờ sông Đà và cứng hoá mặt đê Đà Giang, đê Quỳnh Lâm, thành phố Hoà Bình</t>
  </si>
  <si>
    <t>Công trình: Hạ tầng kỹ thuật, Trung tâm đa chức năng Quỳnh Lâm, thành phố Hòa Bình, tỉnh Hòa Bình</t>
  </si>
  <si>
    <t>Sửa chữa, cải tạo Nhà làm việc Trung tâm xúc tiến đầu tư, Thương mại và du lịch tỉnh Hòa Bình</t>
  </si>
  <si>
    <t>Đường trung tâm xã Đồng Chum đi xóm Hà, huyện Đà Bắc, tỉnh Hòa Bình</t>
  </si>
  <si>
    <t>Đường Hạ tầng du lịch vào cảng Ba Cấp</t>
  </si>
  <si>
    <t>Công trình Trường Trung học phổ thông Nam Lương Sơn, huyện Lương Sơn, tỉnh Hoà Bình</t>
  </si>
  <si>
    <t>Xử lý cấp bách chống hạn, kè chống sạt lở, nạo vét khơi thông dòng chảy sông Bôi, tỉnh Hòa Bình (Dự án thành phần 1)</t>
  </si>
  <si>
    <t>Sửa chữa nâng cấp hồ Rộc Chu, xã Văn Sơn, huyện Lạc Sơn</t>
  </si>
  <si>
    <t>Sửa chữa nâng cấp Kênh mương hồ Đồng Chanh, xã Nhuận Trạch, huyện Lương Sơn</t>
  </si>
  <si>
    <t>Sửa chữa nâng cấp hồ Rung Chăn, xã Phúc Tuy, huyện Lạc Sơn</t>
  </si>
  <si>
    <t>Sửa chữa nâng cấp hồ Trác, xã Lạc Thịnh, huyện Yên Thủy</t>
  </si>
  <si>
    <t>Sửa chữa nâng cấp Bai Kình, xã Dũng Phong, huyện Cao Phong</t>
  </si>
  <si>
    <t>Xử lý khối sạt trượt các khu vực phía đông đồi Ông Tượng, tổ 4, 5, 6 phường Chăm Mát, tổ 4 phường Thái Bình, thành phố Hòa Bình</t>
  </si>
  <si>
    <t>Dự án cấp bách đê ngăn lũ chống ngập úng Pheo - Chẹ hạ du sông Đà, huyện Kỳ Sơn</t>
  </si>
  <si>
    <t>Công trình trường THPT Đại Đồng, Lạc Sơn</t>
  </si>
  <si>
    <t>Công trình trường THPT Kỳ Sơn</t>
  </si>
  <si>
    <t>Đường Quang Tiến- Thịnh Minh, Thành phố Hòa Bình (giai đoạn 1)</t>
  </si>
  <si>
    <t>Đường nối từ đường Quốc Lộ 6 đi Độc Lập, Đú Sáng, đường 12B</t>
  </si>
  <si>
    <t>Đường nối từ đường QH8 với đường An Dương Vương, thành phố Hòa Bình</t>
  </si>
  <si>
    <t>Hạ tầng Kỹ thuật, trung tâm đa chức năng Quỳnh Lâm, thành phố Hòa Bình (giai đoạn 2)</t>
  </si>
  <si>
    <t>Cải tạo, nâng cấp đường tỉnh 446</t>
  </si>
  <si>
    <t>Quỹ PT đất tỉnh HB</t>
  </si>
  <si>
    <t xml:space="preserve"> Ghi thu, ghi chi tiền thu sử dụng đất</t>
  </si>
  <si>
    <t>Quỹ bảo lãnh tín dụng cho các DN vừa và nhỏ tỉnh HB</t>
  </si>
  <si>
    <t>Ngân hàng chính sách xã hội
 tỉnh HB</t>
  </si>
  <si>
    <t>Quỹ hỗ trợ nông dân tỉnh HB</t>
  </si>
  <si>
    <t>Quỹ hỗ trợ phát triển HTX</t>
  </si>
  <si>
    <t>QUYẾT TOÁN CHI BỔ SUNG TỪ NGÂN SÁCH CẤP TỈNH CHO NGÂN SÁCH HUYỆN NĂM 2021</t>
  </si>
  <si>
    <t>Huyện Yên Thuỷ</t>
  </si>
  <si>
    <t>Huyện Đà Bắc</t>
  </si>
  <si>
    <t>Huyện Tân Lạc</t>
  </si>
  <si>
    <t>Biểu số 68/CK-NSNN</t>
  </si>
  <si>
    <t>QUYẾT TOÁN CHI CHƯƠNG TRÌNH MỤC TIÊU QUỐC GIA NGÂN SÁCH CẤP TỈNH VÀ NGÂN SÁCH HUYỆN NĂM 2021</t>
  </si>
  <si>
    <t>…</t>
  </si>
  <si>
    <t xml:space="preserve">Chương trình mục tiêu quốc gia </t>
  </si>
  <si>
    <t>Chương trình MTQG giảm nghèo bền vững</t>
  </si>
  <si>
    <t>Ngân sách cấp huyện(Xã)</t>
  </si>
  <si>
    <t>Chương trình MTQG xây dựng nông thôn mới</t>
  </si>
  <si>
    <t>Nhà phụ trợ trạm Y tế Đoàn Kết Đà Bắc</t>
  </si>
  <si>
    <t>Mô hình khu xử lý chất thải rắn quy mô liên xã</t>
  </si>
  <si>
    <t>Văn phòng Tỉnh uỷ ('Báo Hòa Bình)</t>
  </si>
  <si>
    <t xml:space="preserve">Đài Phát thanh và Truyền hình tỉnh </t>
  </si>
  <si>
    <t>UB MTTQ tỉnh</t>
  </si>
  <si>
    <t xml:space="preserve">Sở Văn hóa, Thể thao và Du lịch </t>
  </si>
  <si>
    <t xml:space="preserve">Công an tỉnh </t>
  </si>
  <si>
    <t xml:space="preserve">Sở Công thương </t>
  </si>
  <si>
    <t xml:space="preserve">Sở Thông tin và truyền thông </t>
  </si>
  <si>
    <t>Ngân sách cấp huyện</t>
  </si>
  <si>
    <t>(Quyết toán đã được Hội đồng nhân dân phê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</si>
</sst>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quot;&quot;;_(@_)"/>
    <numFmt numFmtId="165" formatCode="_(* #,##0_);_(* \(#,##0\);_(* &quot;-&quot;??_);_(@_)"/>
    <numFmt numFmtId="166" formatCode="###,###"/>
    <numFmt numFmtId="167" formatCode="###,###,###"/>
    <numFmt numFmtId="168" formatCode="[$-1042A]#,###"/>
  </numFmts>
  <fonts count="47">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11"/>
      <name val="Times New Roman"/>
      <family val="1"/>
    </font>
    <font>
      <sz val="11"/>
      <name val=".VnArial Narrow"/>
      <family val="2"/>
    </font>
    <font>
      <sz val="11"/>
      <name val="Times New Roman"/>
      <family val="1"/>
    </font>
    <font>
      <sz val="13"/>
      <name val="Times New Roman"/>
      <family val="1"/>
    </font>
    <font>
      <i/>
      <sz val="12"/>
      <name val="Times New Roman"/>
      <family val="1"/>
      <charset val="163"/>
    </font>
    <font>
      <b/>
      <sz val="12"/>
      <name val="Times New Roman"/>
      <family val="1"/>
      <charset val="163"/>
    </font>
    <font>
      <b/>
      <sz val="12"/>
      <name val="Times New Roman h"/>
    </font>
    <font>
      <sz val="13"/>
      <name val="Times New Roman"/>
      <family val="1"/>
      <charset val="163"/>
    </font>
    <font>
      <b/>
      <sz val="13"/>
      <name val="Times New Roman"/>
      <family val="1"/>
      <charset val="163"/>
    </font>
    <font>
      <i/>
      <sz val="13"/>
      <name val="Times New Roman"/>
      <family val="1"/>
      <charset val="163"/>
    </font>
    <font>
      <sz val="13"/>
      <name val="VNTime"/>
      <family val="2"/>
    </font>
    <font>
      <sz val="10"/>
      <name val="Times New Roman"/>
      <family val="1"/>
    </font>
    <font>
      <b/>
      <sz val="10"/>
      <name val="Times New Roman"/>
      <family val="1"/>
    </font>
    <font>
      <b/>
      <u/>
      <sz val="8"/>
      <name val="Times New Roman"/>
      <family val="1"/>
    </font>
    <font>
      <sz val="14"/>
      <name val=".VnArial Narrow"/>
      <family val="2"/>
    </font>
    <font>
      <u/>
      <sz val="12"/>
      <name val="Times New Roman"/>
      <family val="1"/>
    </font>
    <font>
      <sz val="14"/>
      <name val=".VnTime"/>
      <family val="2"/>
    </font>
    <font>
      <b/>
      <u/>
      <sz val="10"/>
      <name val="Times New Roman"/>
      <family val="1"/>
    </font>
    <font>
      <b/>
      <sz val="11"/>
      <name val="Times New Roman"/>
      <family val="1"/>
      <charset val="163"/>
    </font>
    <font>
      <b/>
      <i/>
      <sz val="10"/>
      <name val="Times New Roman"/>
      <family val="1"/>
    </font>
    <font>
      <i/>
      <sz val="10"/>
      <name val="Times New Roman"/>
      <family val="1"/>
    </font>
    <font>
      <sz val="10"/>
      <name val=".VnTime"/>
      <family val="2"/>
    </font>
    <font>
      <b/>
      <sz val="9"/>
      <color indexed="81"/>
      <name val="Tahoma"/>
      <family val="2"/>
    </font>
    <font>
      <sz val="9"/>
      <color indexed="81"/>
      <name val="Tahoma"/>
      <family val="2"/>
    </font>
    <font>
      <sz val="8"/>
      <name val="Times New Roman"/>
      <family val="1"/>
    </font>
    <font>
      <b/>
      <sz val="16"/>
      <name val="Times New Roman"/>
      <family val="1"/>
    </font>
    <font>
      <b/>
      <sz val="8"/>
      <name val="Times New Roman"/>
      <family val="1"/>
    </font>
    <font>
      <b/>
      <u/>
      <sz val="12"/>
      <name val="Times New Roman"/>
      <family val="1"/>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rgb="FF000000"/>
      </left>
      <right style="thin">
        <color rgb="FF000000"/>
      </right>
      <top/>
      <bottom style="hair">
        <color rgb="FF000000"/>
      </bottom>
      <diagonal/>
    </border>
  </borders>
  <cellStyleXfs count="19">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0" fillId="0" borderId="0"/>
    <xf numFmtId="0" fontId="11" fillId="0" borderId="0"/>
    <xf numFmtId="0" fontId="2" fillId="0" borderId="0"/>
    <xf numFmtId="0" fontId="17" fillId="0" borderId="0"/>
    <xf numFmtId="0" fontId="10" fillId="0" borderId="0"/>
    <xf numFmtId="0" fontId="15" fillId="0" borderId="0"/>
    <xf numFmtId="0" fontId="1" fillId="0" borderId="0"/>
    <xf numFmtId="0" fontId="29" fillId="0" borderId="0"/>
    <xf numFmtId="0" fontId="33" fillId="0" borderId="0" applyFont="0" applyFill="0" applyBorder="0" applyAlignment="0" applyProtection="0"/>
    <xf numFmtId="0" fontId="35" fillId="0" borderId="0"/>
    <xf numFmtId="41" fontId="18"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0" fontId="40" fillId="0" borderId="0"/>
  </cellStyleXfs>
  <cellXfs count="337">
    <xf numFmtId="0" fontId="0" fillId="0" borderId="0" xfId="0"/>
    <xf numFmtId="0" fontId="4" fillId="0" borderId="0" xfId="0" applyFont="1" applyFill="1" applyAlignment="1"/>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6"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12" fillId="0" borderId="2" xfId="0" applyFont="1" applyFill="1" applyBorder="1" applyAlignment="1">
      <alignment horizontal="center"/>
    </xf>
    <xf numFmtId="0" fontId="12" fillId="0" borderId="2" xfId="0" applyFont="1" applyFill="1" applyBorder="1" applyAlignment="1">
      <alignment horizontal="center" vertical="center"/>
    </xf>
    <xf numFmtId="0" fontId="12" fillId="0" borderId="3" xfId="0" applyFont="1" applyFill="1" applyBorder="1" applyAlignment="1">
      <alignment vertical="center" wrapText="1"/>
    </xf>
    <xf numFmtId="0" fontId="7" fillId="0" borderId="0" xfId="0" applyFont="1" applyFill="1"/>
    <xf numFmtId="0" fontId="13" fillId="0" borderId="1" xfId="0" applyFont="1" applyFill="1" applyBorder="1"/>
    <xf numFmtId="0" fontId="13" fillId="0" borderId="2" xfId="0" applyFont="1" applyFill="1" applyBorder="1"/>
    <xf numFmtId="0" fontId="3" fillId="0" borderId="2" xfId="0" applyFont="1" applyFill="1" applyBorder="1"/>
    <xf numFmtId="0" fontId="4" fillId="0" borderId="2" xfId="0" applyFont="1" applyFill="1" applyBorder="1"/>
    <xf numFmtId="0" fontId="4" fillId="0" borderId="2" xfId="0" applyFont="1" applyFill="1" applyBorder="1" applyAlignment="1">
      <alignment horizontal="left" wrapText="1"/>
    </xf>
    <xf numFmtId="0" fontId="6" fillId="0" borderId="0" xfId="0" applyFont="1" applyFill="1" applyAlignment="1">
      <alignment horizontal="centerContinuous"/>
    </xf>
    <xf numFmtId="0" fontId="9" fillId="0" borderId="0" xfId="0" applyFont="1" applyFill="1" applyAlignment="1">
      <alignment horizontal="centerContinuous"/>
    </xf>
    <xf numFmtId="0" fontId="4" fillId="0" borderId="4" xfId="0" applyFont="1" applyFill="1" applyBorder="1" applyAlignment="1">
      <alignment horizontal="center"/>
    </xf>
    <xf numFmtId="0" fontId="4" fillId="0" borderId="4" xfId="0" applyFont="1" applyFill="1" applyBorder="1"/>
    <xf numFmtId="0" fontId="4" fillId="0" borderId="2" xfId="0" applyFont="1" applyFill="1" applyBorder="1" applyAlignment="1">
      <alignment horizontal="center" vertical="center"/>
    </xf>
    <xf numFmtId="0" fontId="12" fillId="0" borderId="2" xfId="0" applyFont="1" applyFill="1" applyBorder="1"/>
    <xf numFmtId="0" fontId="5" fillId="0" borderId="0" xfId="0" applyNumberFormat="1" applyFont="1" applyFill="1" applyBorder="1" applyAlignment="1">
      <alignment vertical="center" wrapText="1"/>
    </xf>
    <xf numFmtId="0" fontId="8" fillId="0" borderId="0" xfId="0" applyFont="1" applyFill="1" applyBorder="1"/>
    <xf numFmtId="0" fontId="4" fillId="0" borderId="2" xfId="0" applyFont="1" applyFill="1" applyBorder="1" applyAlignment="1">
      <alignment horizontal="left" vertical="center" wrapText="1"/>
    </xf>
    <xf numFmtId="0" fontId="4" fillId="0" borderId="3" xfId="0" applyFont="1" applyFill="1" applyBorder="1" applyAlignment="1">
      <alignment horizontal="left" wrapText="1"/>
    </xf>
    <xf numFmtId="0" fontId="12" fillId="0" borderId="5" xfId="0" applyFont="1" applyFill="1" applyBorder="1" applyAlignment="1">
      <alignment horizontal="center"/>
    </xf>
    <xf numFmtId="0" fontId="12" fillId="0" borderId="5" xfId="0" applyFont="1" applyFill="1" applyBorder="1"/>
    <xf numFmtId="0" fontId="3" fillId="0" borderId="0" xfId="4" applyFont="1" applyFill="1" applyAlignment="1">
      <alignment horizontal="right"/>
    </xf>
    <xf numFmtId="0" fontId="3" fillId="0" borderId="0" xfId="4" applyFont="1" applyFill="1" applyAlignment="1">
      <alignment horizontal="centerContinuous"/>
    </xf>
    <xf numFmtId="0" fontId="3" fillId="0" borderId="0" xfId="4" applyFont="1" applyFill="1"/>
    <xf numFmtId="0" fontId="4" fillId="0" borderId="0" xfId="4" applyFont="1" applyFill="1" applyAlignment="1">
      <alignment horizontal="centerContinuous"/>
    </xf>
    <xf numFmtId="0" fontId="6" fillId="0" borderId="0" xfId="4" applyFont="1" applyFill="1" applyAlignment="1">
      <alignment horizontal="centerContinuous"/>
    </xf>
    <xf numFmtId="0" fontId="9" fillId="0" borderId="0" xfId="4" applyFont="1" applyFill="1" applyAlignment="1">
      <alignment horizontal="centerContinuous"/>
    </xf>
    <xf numFmtId="0" fontId="7" fillId="0" borderId="0" xfId="4" applyFont="1" applyFill="1" applyAlignment="1">
      <alignment horizontal="left"/>
    </xf>
    <xf numFmtId="0" fontId="8" fillId="0" borderId="0" xfId="4" applyFont="1" applyFill="1"/>
    <xf numFmtId="0" fontId="7" fillId="0" borderId="0" xfId="4" applyFont="1" applyFill="1"/>
    <xf numFmtId="0" fontId="5" fillId="0" borderId="0" xfId="4" applyFont="1" applyFill="1" applyAlignment="1">
      <alignment horizontal="right"/>
    </xf>
    <xf numFmtId="0" fontId="21" fillId="0" borderId="0" xfId="4" applyFont="1" applyFill="1"/>
    <xf numFmtId="0" fontId="4" fillId="0" borderId="11" xfId="0" applyFont="1" applyFill="1" applyBorder="1"/>
    <xf numFmtId="0" fontId="4" fillId="0" borderId="3" xfId="0" applyFont="1" applyFill="1" applyBorder="1"/>
    <xf numFmtId="3" fontId="3" fillId="0" borderId="2" xfId="4" applyNumberFormat="1"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wrapText="1"/>
    </xf>
    <xf numFmtId="0" fontId="4" fillId="0" borderId="3" xfId="0" applyNumberFormat="1" applyFont="1" applyFill="1" applyBorder="1" applyAlignment="1">
      <alignment horizontal="left" vertical="center"/>
    </xf>
    <xf numFmtId="0" fontId="4" fillId="0" borderId="4" xfId="0" applyFont="1" applyFill="1" applyBorder="1" applyAlignment="1">
      <alignment horizontal="center" vertical="center"/>
    </xf>
    <xf numFmtId="0" fontId="4" fillId="0" borderId="12" xfId="0" applyNumberFormat="1" applyFont="1" applyFill="1" applyBorder="1" applyAlignment="1">
      <alignment horizontal="left" vertical="center" wrapText="1"/>
    </xf>
    <xf numFmtId="0" fontId="7" fillId="0" borderId="0" xfId="0" quotePrefix="1" applyFont="1" applyFill="1" applyAlignment="1">
      <alignment horizontal="left"/>
    </xf>
    <xf numFmtId="0" fontId="7" fillId="0" borderId="0" xfId="0" quotePrefix="1" applyFont="1" applyFill="1" applyBorder="1"/>
    <xf numFmtId="0" fontId="4" fillId="0" borderId="0" xfId="0" applyFont="1" applyFill="1" applyAlignment="1">
      <alignment horizontal="left"/>
    </xf>
    <xf numFmtId="0" fontId="5" fillId="0" borderId="0" xfId="0" applyNumberFormat="1" applyFont="1" applyFill="1" applyAlignment="1">
      <alignment vertical="center" wrapText="1"/>
    </xf>
    <xf numFmtId="0" fontId="22" fillId="0" borderId="0" xfId="0" applyFont="1" applyFill="1"/>
    <xf numFmtId="0" fontId="4" fillId="0" borderId="1" xfId="0" applyFont="1" applyFill="1" applyBorder="1"/>
    <xf numFmtId="3" fontId="4" fillId="0" borderId="1" xfId="0" applyNumberFormat="1" applyFont="1" applyFill="1" applyBorder="1"/>
    <xf numFmtId="3" fontId="4" fillId="0" borderId="2" xfId="0" applyNumberFormat="1" applyFont="1" applyFill="1" applyBorder="1"/>
    <xf numFmtId="0" fontId="5" fillId="0" borderId="2" xfId="0" applyFont="1" applyFill="1" applyBorder="1" applyAlignment="1">
      <alignment horizontal="center"/>
    </xf>
    <xf numFmtId="0" fontId="3" fillId="0" borderId="3" xfId="0" applyFont="1" applyFill="1" applyBorder="1" applyAlignment="1">
      <alignment horizontal="left" vertical="center" wrapText="1"/>
    </xf>
    <xf numFmtId="3" fontId="5" fillId="0" borderId="2" xfId="0" applyNumberFormat="1" applyFont="1" applyFill="1" applyBorder="1"/>
    <xf numFmtId="0" fontId="23" fillId="0" borderId="2" xfId="0" applyFont="1" applyFill="1" applyBorder="1" applyAlignment="1">
      <alignment horizontal="center"/>
    </xf>
    <xf numFmtId="0" fontId="23" fillId="0" borderId="2" xfId="0" applyFont="1" applyFill="1" applyBorder="1"/>
    <xf numFmtId="0" fontId="24" fillId="0" borderId="2" xfId="0" applyFont="1" applyFill="1" applyBorder="1" applyAlignment="1">
      <alignment horizontal="center" vertical="center"/>
    </xf>
    <xf numFmtId="0" fontId="4" fillId="0" borderId="2" xfId="0" applyFont="1" applyFill="1" applyBorder="1" applyAlignment="1">
      <alignment wrapText="1"/>
    </xf>
    <xf numFmtId="0" fontId="24" fillId="0" borderId="3" xfId="0" applyFont="1" applyFill="1" applyBorder="1"/>
    <xf numFmtId="0" fontId="25" fillId="0" borderId="2" xfId="0" applyFont="1" applyFill="1" applyBorder="1"/>
    <xf numFmtId="0" fontId="25" fillId="0" borderId="4" xfId="0" applyFont="1" applyFill="1" applyBorder="1"/>
    <xf numFmtId="0" fontId="26" fillId="0" borderId="0" xfId="9" applyFont="1" applyFill="1"/>
    <xf numFmtId="165" fontId="27" fillId="0" borderId="0" xfId="1" applyNumberFormat="1" applyFont="1" applyFill="1" applyAlignment="1">
      <alignment horizontal="right"/>
    </xf>
    <xf numFmtId="0" fontId="27" fillId="0" borderId="0" xfId="9" applyFont="1" applyFill="1" applyAlignment="1">
      <alignment vertical="top"/>
    </xf>
    <xf numFmtId="165" fontId="27" fillId="0" borderId="0" xfId="1" applyNumberFormat="1" applyFont="1" applyFill="1"/>
    <xf numFmtId="0" fontId="26" fillId="0" borderId="0" xfId="9" applyFont="1" applyFill="1" applyAlignment="1">
      <alignment horizontal="right"/>
    </xf>
    <xf numFmtId="44" fontId="28" fillId="0" borderId="0" xfId="2" applyFont="1" applyFill="1" applyAlignment="1">
      <alignment horizontal="right"/>
    </xf>
    <xf numFmtId="165" fontId="23" fillId="0" borderId="0" xfId="1" applyNumberFormat="1" applyFont="1" applyFill="1" applyAlignment="1">
      <alignment horizontal="right"/>
    </xf>
    <xf numFmtId="0" fontId="15" fillId="0" borderId="0" xfId="9" applyFont="1" applyFill="1" applyAlignment="1">
      <alignment horizontal="center"/>
    </xf>
    <xf numFmtId="165" fontId="24" fillId="0" borderId="1" xfId="1" applyNumberFormat="1" applyFont="1" applyFill="1" applyBorder="1" applyAlignment="1"/>
    <xf numFmtId="0" fontId="27" fillId="0" borderId="0" xfId="9" applyFont="1" applyFill="1"/>
    <xf numFmtId="165" fontId="24" fillId="0" borderId="2" xfId="1" applyNumberFormat="1" applyFont="1" applyFill="1" applyBorder="1" applyAlignment="1"/>
    <xf numFmtId="0" fontId="24" fillId="0" borderId="2" xfId="9" applyFont="1" applyFill="1" applyBorder="1" applyAlignment="1">
      <alignment horizontal="center" wrapText="1"/>
    </xf>
    <xf numFmtId="0" fontId="12" fillId="0" borderId="2" xfId="9" applyFont="1" applyFill="1" applyBorder="1" applyAlignment="1">
      <alignment horizontal="left" wrapText="1"/>
    </xf>
    <xf numFmtId="0" fontId="24" fillId="0" borderId="2" xfId="9" applyFont="1" applyFill="1" applyBorder="1" applyAlignment="1">
      <alignment wrapText="1"/>
    </xf>
    <xf numFmtId="0" fontId="12" fillId="0" borderId="2" xfId="0" applyFont="1" applyFill="1" applyBorder="1" applyAlignment="1">
      <alignment horizontal="center" wrapText="1"/>
    </xf>
    <xf numFmtId="166" fontId="12" fillId="0" borderId="2" xfId="0" applyNumberFormat="1" applyFont="1" applyFill="1" applyBorder="1" applyAlignment="1">
      <alignment wrapText="1"/>
    </xf>
    <xf numFmtId="166" fontId="12" fillId="0" borderId="2" xfId="0" applyNumberFormat="1" applyFont="1" applyFill="1" applyBorder="1" applyAlignment="1">
      <alignment vertical="center" wrapText="1"/>
    </xf>
    <xf numFmtId="166" fontId="23" fillId="0" borderId="2" xfId="0" applyNumberFormat="1" applyFont="1" applyFill="1" applyBorder="1" applyAlignment="1">
      <alignment wrapText="1"/>
    </xf>
    <xf numFmtId="166" fontId="23" fillId="0" borderId="2" xfId="0" applyNumberFormat="1" applyFont="1" applyFill="1" applyBorder="1" applyAlignment="1">
      <alignment vertical="center" wrapText="1"/>
    </xf>
    <xf numFmtId="0" fontId="12" fillId="0" borderId="2" xfId="11" applyFont="1" applyFill="1" applyBorder="1" applyAlignment="1">
      <alignment horizontal="center" wrapText="1"/>
    </xf>
    <xf numFmtId="166" fontId="12" fillId="0" borderId="2" xfId="11" applyNumberFormat="1" applyFont="1" applyFill="1" applyBorder="1" applyAlignment="1">
      <alignment wrapText="1"/>
    </xf>
    <xf numFmtId="166" fontId="12" fillId="0" borderId="2" xfId="11" applyNumberFormat="1" applyFont="1" applyFill="1" applyBorder="1" applyAlignment="1">
      <alignment vertical="center" wrapText="1"/>
    </xf>
    <xf numFmtId="0" fontId="12" fillId="0" borderId="2" xfId="11" applyFont="1" applyFill="1" applyBorder="1" applyAlignment="1">
      <alignment horizontal="center" vertical="center" wrapText="1"/>
    </xf>
    <xf numFmtId="166" fontId="12" fillId="0" borderId="2" xfId="11" applyNumberFormat="1" applyFont="1" applyFill="1" applyBorder="1" applyAlignment="1">
      <alignment horizontal="justify" wrapText="1"/>
    </xf>
    <xf numFmtId="0" fontId="12" fillId="0" borderId="2" xfId="9" applyFont="1" applyFill="1" applyBorder="1" applyAlignment="1">
      <alignment horizontal="center" wrapText="1"/>
    </xf>
    <xf numFmtId="0" fontId="23" fillId="0" borderId="2" xfId="9" applyFont="1" applyFill="1" applyBorder="1" applyAlignment="1">
      <alignment wrapText="1"/>
    </xf>
    <xf numFmtId="0" fontId="23" fillId="0" borderId="2" xfId="9" applyFont="1" applyFill="1" applyBorder="1" applyAlignment="1">
      <alignment vertical="top" wrapText="1"/>
    </xf>
    <xf numFmtId="165" fontId="12" fillId="0" borderId="2" xfId="1" applyNumberFormat="1" applyFont="1" applyFill="1" applyBorder="1" applyAlignment="1"/>
    <xf numFmtId="0" fontId="24" fillId="0" borderId="2" xfId="0" applyFont="1" applyFill="1" applyBorder="1" applyAlignment="1"/>
    <xf numFmtId="0" fontId="24" fillId="0" borderId="2" xfId="0" applyFont="1" applyFill="1" applyBorder="1" applyAlignment="1">
      <alignment horizontal="center"/>
    </xf>
    <xf numFmtId="0" fontId="24" fillId="0" borderId="2" xfId="0" applyFont="1" applyFill="1" applyBorder="1"/>
    <xf numFmtId="0" fontId="24" fillId="0" borderId="4" xfId="0" applyFont="1" applyFill="1" applyBorder="1" applyAlignment="1">
      <alignment horizontal="center"/>
    </xf>
    <xf numFmtId="0" fontId="24" fillId="0" borderId="4" xfId="0" applyFont="1" applyFill="1" applyBorder="1" applyAlignment="1"/>
    <xf numFmtId="0" fontId="24" fillId="0" borderId="4" xfId="0" applyFont="1" applyFill="1" applyBorder="1"/>
    <xf numFmtId="165" fontId="24" fillId="0" borderId="4" xfId="1" applyNumberFormat="1" applyFont="1" applyFill="1" applyBorder="1" applyAlignment="1"/>
    <xf numFmtId="165" fontId="26" fillId="0" borderId="0" xfId="1" applyNumberFormat="1" applyFont="1" applyFill="1"/>
    <xf numFmtId="0" fontId="6" fillId="0" borderId="0" xfId="4" applyFont="1" applyFill="1" applyAlignment="1">
      <alignment horizontal="right"/>
    </xf>
    <xf numFmtId="0" fontId="7" fillId="0" borderId="0" xfId="4" applyFont="1" applyFill="1" applyBorder="1" applyAlignment="1"/>
    <xf numFmtId="0" fontId="30" fillId="0" borderId="0" xfId="0" applyFont="1" applyFill="1"/>
    <xf numFmtId="167" fontId="31" fillId="0" borderId="0" xfId="0" applyNumberFormat="1" applyFont="1" applyFill="1" applyAlignment="1">
      <alignment vertical="center" wrapText="1"/>
    </xf>
    <xf numFmtId="167" fontId="31" fillId="0" borderId="2" xfId="0" applyNumberFormat="1" applyFont="1" applyFill="1" applyBorder="1" applyAlignment="1" applyProtection="1">
      <alignment vertical="center" wrapText="1"/>
    </xf>
    <xf numFmtId="0" fontId="34" fillId="0" borderId="0" xfId="0" applyFont="1" applyFill="1" applyAlignment="1">
      <alignment vertical="center"/>
    </xf>
    <xf numFmtId="167" fontId="31" fillId="0" borderId="2" xfId="0" applyNumberFormat="1" applyFont="1" applyFill="1" applyBorder="1" applyAlignment="1">
      <alignment horizontal="center" vertical="center"/>
    </xf>
    <xf numFmtId="167" fontId="31" fillId="0" borderId="2" xfId="0" applyNumberFormat="1" applyFont="1" applyFill="1" applyBorder="1" applyAlignment="1" applyProtection="1">
      <alignment horizontal="justify" vertical="center" wrapText="1"/>
    </xf>
    <xf numFmtId="0" fontId="3" fillId="0" borderId="0" xfId="0" applyFont="1" applyFill="1" applyAlignment="1">
      <alignment vertical="center" wrapText="1"/>
    </xf>
    <xf numFmtId="167" fontId="31" fillId="0" borderId="4" xfId="0" applyNumberFormat="1" applyFont="1" applyFill="1" applyBorder="1" applyAlignment="1">
      <alignment horizontal="center" vertical="center"/>
    </xf>
    <xf numFmtId="167" fontId="31" fillId="0" borderId="4" xfId="0" applyNumberFormat="1" applyFont="1" applyFill="1" applyBorder="1" applyAlignment="1" applyProtection="1">
      <alignment horizontal="justify" vertical="center" wrapText="1"/>
    </xf>
    <xf numFmtId="0" fontId="3" fillId="0" borderId="0" xfId="0" applyFont="1" applyFill="1" applyAlignment="1">
      <alignment horizontal="right"/>
    </xf>
    <xf numFmtId="3" fontId="3" fillId="0" borderId="2" xfId="0" applyNumberFormat="1" applyFont="1" applyFill="1" applyBorder="1"/>
    <xf numFmtId="0" fontId="6" fillId="0" borderId="0" xfId="4" applyFont="1" applyFill="1" applyAlignment="1"/>
    <xf numFmtId="0" fontId="7" fillId="0" borderId="0" xfId="4" applyFont="1" applyFill="1" applyBorder="1" applyAlignment="1">
      <alignment horizontal="center"/>
    </xf>
    <xf numFmtId="3" fontId="4" fillId="0" borderId="4" xfId="0" applyNumberFormat="1" applyFont="1" applyFill="1" applyBorder="1"/>
    <xf numFmtId="3" fontId="8" fillId="0" borderId="2" xfId="0" applyNumberFormat="1" applyFont="1" applyFill="1" applyBorder="1"/>
    <xf numFmtId="3" fontId="7" fillId="0" borderId="2" xfId="0" applyNumberFormat="1" applyFont="1" applyFill="1" applyBorder="1"/>
    <xf numFmtId="1" fontId="25" fillId="0" borderId="2" xfId="0" applyNumberFormat="1" applyFont="1" applyFill="1" applyBorder="1"/>
    <xf numFmtId="1" fontId="4" fillId="0" borderId="2" xfId="0" applyNumberFormat="1" applyFont="1" applyFill="1" applyBorder="1"/>
    <xf numFmtId="167" fontId="32" fillId="0" borderId="1" xfId="0" applyNumberFormat="1" applyFont="1" applyFill="1" applyBorder="1" applyAlignment="1" applyProtection="1">
      <alignment horizontal="center" vertical="center"/>
    </xf>
    <xf numFmtId="167" fontId="31" fillId="0" borderId="1" xfId="0" applyNumberFormat="1" applyFont="1" applyFill="1" applyBorder="1" applyAlignment="1">
      <alignment horizontal="center" vertical="center"/>
    </xf>
    <xf numFmtId="167" fontId="31" fillId="0" borderId="2" xfId="0" applyNumberFormat="1" applyFont="1" applyFill="1" applyBorder="1" applyAlignment="1" applyProtection="1">
      <alignment horizontal="center" vertical="center"/>
    </xf>
    <xf numFmtId="0" fontId="36" fillId="0" borderId="0" xfId="0" applyFont="1" applyFill="1"/>
    <xf numFmtId="0" fontId="12" fillId="0" borderId="16" xfId="0" applyFont="1" applyFill="1" applyBorder="1" applyAlignment="1">
      <alignment horizontal="center" vertical="center" wrapText="1"/>
    </xf>
    <xf numFmtId="3" fontId="6" fillId="0" borderId="1" xfId="0" applyNumberFormat="1" applyFont="1" applyFill="1" applyBorder="1"/>
    <xf numFmtId="3" fontId="6" fillId="0" borderId="2" xfId="0" applyNumberFormat="1" applyFont="1" applyFill="1" applyBorder="1"/>
    <xf numFmtId="3" fontId="4" fillId="0" borderId="1" xfId="4" applyNumberFormat="1" applyFont="1" applyFill="1" applyBorder="1"/>
    <xf numFmtId="3" fontId="4" fillId="0" borderId="2" xfId="4" applyNumberFormat="1" applyFont="1" applyFill="1" applyBorder="1"/>
    <xf numFmtId="3" fontId="4" fillId="0" borderId="4" xfId="4" applyNumberFormat="1" applyFont="1" applyFill="1" applyBorder="1"/>
    <xf numFmtId="0" fontId="6" fillId="0" borderId="0" xfId="4" applyFont="1" applyFill="1"/>
    <xf numFmtId="0" fontId="7" fillId="0" borderId="0" xfId="4" applyFont="1" applyFill="1" applyAlignment="1">
      <alignment horizontal="left" wrapText="1"/>
    </xf>
    <xf numFmtId="0" fontId="3" fillId="0" borderId="0" xfId="4" applyFont="1" applyFill="1" applyAlignment="1">
      <alignment wrapText="1"/>
    </xf>
    <xf numFmtId="0" fontId="4" fillId="0" borderId="0" xfId="4" applyFont="1" applyFill="1"/>
    <xf numFmtId="0" fontId="4" fillId="0" borderId="0" xfId="0" applyFont="1" applyFill="1" applyAlignment="1">
      <alignment horizontal="right"/>
    </xf>
    <xf numFmtId="0" fontId="16" fillId="0" borderId="0" xfId="0" applyFont="1" applyFill="1" applyBorder="1" applyAlignment="1">
      <alignment horizontal="right"/>
    </xf>
    <xf numFmtId="0" fontId="4" fillId="0" borderId="6" xfId="0" applyFont="1" applyFill="1" applyBorder="1" applyAlignment="1">
      <alignment horizontal="center" vertical="center" wrapText="1"/>
    </xf>
    <xf numFmtId="0" fontId="7" fillId="0" borderId="0" xfId="0" applyFont="1" applyFill="1" applyAlignment="1">
      <alignment horizontal="left"/>
    </xf>
    <xf numFmtId="0" fontId="23" fillId="0" borderId="0" xfId="9" applyFont="1" applyFill="1" applyAlignment="1">
      <alignment horizontal="center"/>
    </xf>
    <xf numFmtId="0" fontId="5" fillId="0" borderId="0" xfId="4" applyFont="1" applyFill="1" applyBorder="1" applyAlignment="1">
      <alignment horizontal="right"/>
    </xf>
    <xf numFmtId="1" fontId="3" fillId="0" borderId="2" xfId="0" applyNumberFormat="1" applyFont="1" applyFill="1" applyBorder="1"/>
    <xf numFmtId="0" fontId="3" fillId="0" borderId="5" xfId="0" applyFont="1" applyFill="1" applyBorder="1"/>
    <xf numFmtId="1" fontId="4" fillId="0" borderId="4" xfId="0" applyNumberFormat="1" applyFont="1" applyFill="1" applyBorder="1"/>
    <xf numFmtId="3" fontId="3" fillId="0" borderId="2" xfId="4" applyNumberFormat="1" applyFont="1" applyFill="1" applyBorder="1" applyAlignment="1">
      <alignment horizontal="right" vertical="center"/>
    </xf>
    <xf numFmtId="3" fontId="3" fillId="0" borderId="2" xfId="4" applyNumberFormat="1" applyFont="1" applyFill="1" applyBorder="1" applyAlignment="1">
      <alignment vertical="center"/>
    </xf>
    <xf numFmtId="0" fontId="4" fillId="0" borderId="0" xfId="0" applyFont="1" applyFill="1" applyAlignment="1">
      <alignment horizontal="centerContinuous" wrapText="1"/>
    </xf>
    <xf numFmtId="0" fontId="6" fillId="0" borderId="0" xfId="0" applyFont="1" applyFill="1" applyAlignment="1">
      <alignment horizontal="centerContinuous" wrapText="1"/>
    </xf>
    <xf numFmtId="3" fontId="3"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right" vertical="center" wrapText="1"/>
    </xf>
    <xf numFmtId="3" fontId="23" fillId="0" borderId="2" xfId="0" applyNumberFormat="1" applyFont="1" applyFill="1" applyBorder="1"/>
    <xf numFmtId="3" fontId="24" fillId="0" borderId="2" xfId="0" applyNumberFormat="1" applyFont="1" applyFill="1" applyBorder="1"/>
    <xf numFmtId="3" fontId="25" fillId="0" borderId="2" xfId="0" applyNumberFormat="1" applyFont="1" applyFill="1" applyBorder="1"/>
    <xf numFmtId="3" fontId="25" fillId="0" borderId="4" xfId="0" applyNumberFormat="1" applyFont="1" applyFill="1" applyBorder="1"/>
    <xf numFmtId="0" fontId="8" fillId="0" borderId="4" xfId="0" applyFont="1" applyFill="1" applyBorder="1"/>
    <xf numFmtId="0" fontId="37" fillId="0" borderId="16" xfId="9" applyFont="1" applyFill="1" applyBorder="1" applyAlignment="1">
      <alignment horizontal="center" vertical="center" wrapText="1"/>
    </xf>
    <xf numFmtId="165" fontId="37" fillId="0" borderId="16" xfId="1" applyNumberFormat="1" applyFont="1" applyFill="1" applyBorder="1" applyAlignment="1">
      <alignment horizontal="center" vertical="center" wrapText="1"/>
    </xf>
    <xf numFmtId="0" fontId="37" fillId="0" borderId="1" xfId="9" applyFont="1" applyFill="1" applyBorder="1" applyAlignment="1">
      <alignment horizontal="center" wrapText="1"/>
    </xf>
    <xf numFmtId="0" fontId="37" fillId="0" borderId="1" xfId="9" applyFont="1" applyFill="1" applyBorder="1" applyAlignment="1">
      <alignment horizontal="left" wrapText="1"/>
    </xf>
    <xf numFmtId="3" fontId="24" fillId="0" borderId="1" xfId="9" applyNumberFormat="1" applyFont="1" applyFill="1" applyBorder="1" applyAlignment="1">
      <alignment horizontal="right" vertical="center" wrapText="1"/>
    </xf>
    <xf numFmtId="0" fontId="37" fillId="0" borderId="2" xfId="9" applyFont="1" applyFill="1" applyBorder="1" applyAlignment="1">
      <alignment horizontal="center" wrapText="1"/>
    </xf>
    <xf numFmtId="0" fontId="37" fillId="0" borderId="2" xfId="9" applyFont="1" applyFill="1" applyBorder="1" applyAlignment="1">
      <alignment horizontal="left" wrapText="1"/>
    </xf>
    <xf numFmtId="3" fontId="24" fillId="0" borderId="2" xfId="9" applyNumberFormat="1" applyFont="1" applyFill="1" applyBorder="1" applyAlignment="1">
      <alignment horizontal="right" vertical="center" wrapText="1"/>
    </xf>
    <xf numFmtId="0" fontId="23" fillId="0" borderId="2" xfId="9" applyFont="1" applyFill="1" applyBorder="1" applyAlignment="1">
      <alignment horizontal="right" vertical="center" wrapText="1"/>
    </xf>
    <xf numFmtId="165" fontId="3" fillId="0" borderId="2" xfId="1" applyNumberFormat="1" applyFont="1" applyFill="1" applyBorder="1" applyAlignment="1"/>
    <xf numFmtId="41" fontId="3" fillId="0" borderId="18" xfId="16" applyNumberFormat="1" applyFont="1" applyFill="1" applyBorder="1" applyAlignment="1">
      <alignment vertical="center"/>
    </xf>
    <xf numFmtId="166" fontId="4" fillId="0" borderId="2" xfId="11" applyNumberFormat="1" applyFont="1" applyFill="1" applyBorder="1" applyAlignment="1">
      <alignment vertical="center" wrapText="1"/>
    </xf>
    <xf numFmtId="165" fontId="4" fillId="0" borderId="2" xfId="1" applyNumberFormat="1" applyFont="1" applyFill="1" applyBorder="1" applyAlignment="1"/>
    <xf numFmtId="0" fontId="7" fillId="0" borderId="0" xfId="4" applyFont="1" applyFill="1" applyAlignment="1">
      <alignment horizontal="center" vertical="center"/>
    </xf>
    <xf numFmtId="167" fontId="30" fillId="0" borderId="16" xfId="0" applyNumberFormat="1" applyFont="1" applyFill="1" applyBorder="1" applyAlignment="1">
      <alignment horizontal="center" vertical="center" wrapText="1"/>
    </xf>
    <xf numFmtId="167" fontId="31" fillId="0" borderId="1" xfId="0" applyNumberFormat="1" applyFont="1" applyFill="1" applyBorder="1" applyAlignment="1">
      <alignment horizontal="center" vertical="center" wrapText="1"/>
    </xf>
    <xf numFmtId="41" fontId="31" fillId="0" borderId="2" xfId="0" applyNumberFormat="1" applyFont="1" applyFill="1" applyBorder="1" applyAlignment="1">
      <alignment horizontal="right" vertical="center" wrapText="1" readingOrder="1"/>
    </xf>
    <xf numFmtId="41" fontId="31" fillId="0" borderId="2" xfId="12" applyNumberFormat="1" applyFont="1" applyFill="1" applyBorder="1" applyAlignment="1">
      <alignment horizontal="right" vertical="center"/>
    </xf>
    <xf numFmtId="167" fontId="31" fillId="0" borderId="2" xfId="0" applyNumberFormat="1" applyFont="1" applyFill="1" applyBorder="1" applyAlignment="1" applyProtection="1">
      <alignment vertical="center"/>
    </xf>
    <xf numFmtId="0" fontId="36" fillId="0" borderId="2" xfId="0" applyFont="1" applyFill="1" applyBorder="1"/>
    <xf numFmtId="41" fontId="31" fillId="0" borderId="2" xfId="0" applyNumberFormat="1" applyFont="1" applyFill="1" applyBorder="1" applyAlignment="1">
      <alignment vertical="center" wrapText="1"/>
    </xf>
    <xf numFmtId="41" fontId="31" fillId="0" borderId="2" xfId="0" applyNumberFormat="1" applyFont="1" applyFill="1" applyBorder="1" applyAlignment="1">
      <alignment horizontal="right" vertical="center"/>
    </xf>
    <xf numFmtId="41" fontId="30" fillId="0" borderId="2" xfId="0" quotePrefix="1" applyNumberFormat="1" applyFont="1" applyFill="1" applyBorder="1" applyAlignment="1">
      <alignment horizontal="center" vertical="center"/>
    </xf>
    <xf numFmtId="41" fontId="30" fillId="0" borderId="2" xfId="0" applyNumberFormat="1" applyFont="1" applyFill="1" applyBorder="1" applyAlignment="1">
      <alignment vertical="center" wrapText="1"/>
    </xf>
    <xf numFmtId="41" fontId="30" fillId="0" borderId="2" xfId="0" applyNumberFormat="1" applyFont="1" applyFill="1" applyBorder="1" applyAlignment="1">
      <alignment horizontal="right" vertical="center" wrapText="1" readingOrder="1"/>
    </xf>
    <xf numFmtId="41" fontId="30" fillId="0" borderId="2" xfId="12" applyNumberFormat="1" applyFont="1" applyFill="1" applyBorder="1" applyAlignment="1">
      <alignment horizontal="right" vertical="center"/>
    </xf>
    <xf numFmtId="41" fontId="30" fillId="0" borderId="2" xfId="0" applyNumberFormat="1" applyFont="1" applyFill="1" applyBorder="1" applyAlignment="1">
      <alignment horizontal="right" vertical="center"/>
    </xf>
    <xf numFmtId="167" fontId="30" fillId="0" borderId="2" xfId="0" applyNumberFormat="1" applyFont="1" applyFill="1" applyBorder="1" applyAlignment="1" applyProtection="1">
      <alignment vertical="center" wrapText="1"/>
    </xf>
    <xf numFmtId="41" fontId="30" fillId="0" borderId="2" xfId="15" applyNumberFormat="1" applyFont="1" applyFill="1" applyBorder="1" applyAlignment="1">
      <alignment vertical="center" wrapText="1"/>
    </xf>
    <xf numFmtId="41" fontId="30" fillId="0" borderId="2" xfId="15" quotePrefix="1" applyNumberFormat="1" applyFont="1" applyFill="1" applyBorder="1" applyAlignment="1">
      <alignment horizontal="center" vertical="center"/>
    </xf>
    <xf numFmtId="41" fontId="31" fillId="0" borderId="2" xfId="0" applyNumberFormat="1" applyFont="1" applyFill="1" applyBorder="1" applyAlignment="1">
      <alignment horizontal="center" vertical="center"/>
    </xf>
    <xf numFmtId="41" fontId="31" fillId="0" borderId="2" xfId="0" applyNumberFormat="1" applyFont="1" applyFill="1" applyBorder="1" applyAlignment="1">
      <alignment horizontal="left" vertical="center" wrapText="1"/>
    </xf>
    <xf numFmtId="41" fontId="30" fillId="0" borderId="2" xfId="0" applyNumberFormat="1" applyFont="1" applyFill="1" applyBorder="1" applyAlignment="1">
      <alignment horizontal="left" vertical="center" wrapText="1"/>
    </xf>
    <xf numFmtId="41" fontId="30" fillId="0" borderId="2" xfId="15" applyNumberFormat="1" applyFont="1" applyFill="1" applyBorder="1" applyAlignment="1">
      <alignment horizontal="left" vertical="center" wrapText="1"/>
    </xf>
    <xf numFmtId="41" fontId="31" fillId="0" borderId="2" xfId="0" quotePrefix="1" applyNumberFormat="1" applyFont="1" applyFill="1" applyBorder="1" applyAlignment="1">
      <alignment horizontal="center" vertical="center"/>
    </xf>
    <xf numFmtId="41" fontId="31" fillId="0" borderId="2" xfId="17" applyNumberFormat="1" applyFont="1" applyFill="1" applyBorder="1" applyAlignment="1">
      <alignment horizontal="right" vertical="center"/>
    </xf>
    <xf numFmtId="41" fontId="30" fillId="0" borderId="2" xfId="17" applyNumberFormat="1" applyFont="1" applyFill="1" applyBorder="1" applyAlignment="1">
      <alignment horizontal="right" vertical="center"/>
    </xf>
    <xf numFmtId="41" fontId="38" fillId="0" borderId="2" xfId="0" quotePrefix="1" applyNumberFormat="1" applyFont="1" applyFill="1" applyBorder="1" applyAlignment="1">
      <alignment horizontal="center" vertical="center"/>
    </xf>
    <xf numFmtId="41" fontId="30" fillId="0" borderId="2" xfId="0" applyNumberFormat="1" applyFont="1" applyFill="1" applyBorder="1" applyAlignment="1">
      <alignment horizontal="center" vertical="center"/>
    </xf>
    <xf numFmtId="41" fontId="31" fillId="0" borderId="2" xfId="0" applyNumberFormat="1" applyFont="1" applyFill="1" applyBorder="1" applyAlignment="1">
      <alignment horizontal="center" vertical="center" wrapText="1"/>
    </xf>
    <xf numFmtId="41" fontId="39" fillId="0" borderId="2" xfId="0" quotePrefix="1" applyNumberFormat="1" applyFont="1" applyFill="1" applyBorder="1" applyAlignment="1">
      <alignment horizontal="center" vertical="center"/>
    </xf>
    <xf numFmtId="41" fontId="39" fillId="0" borderId="2" xfId="0" applyNumberFormat="1" applyFont="1" applyFill="1" applyBorder="1" applyAlignment="1">
      <alignment vertical="center" wrapText="1"/>
    </xf>
    <xf numFmtId="41" fontId="39" fillId="0" borderId="2" xfId="0" applyNumberFormat="1" applyFont="1" applyFill="1" applyBorder="1" applyAlignment="1">
      <alignment horizontal="right" vertical="center"/>
    </xf>
    <xf numFmtId="41" fontId="39" fillId="0" borderId="2" xfId="12" applyNumberFormat="1" applyFont="1" applyFill="1" applyBorder="1" applyAlignment="1">
      <alignment horizontal="right" vertical="center"/>
    </xf>
    <xf numFmtId="41" fontId="30" fillId="0" borderId="2" xfId="17" applyNumberFormat="1" applyFont="1" applyFill="1" applyBorder="1" applyAlignment="1">
      <alignment vertical="center"/>
    </xf>
    <xf numFmtId="41" fontId="39" fillId="0" borderId="2" xfId="18" applyNumberFormat="1" applyFont="1" applyFill="1" applyBorder="1" applyAlignment="1">
      <alignment vertical="center" wrapText="1"/>
    </xf>
    <xf numFmtId="41" fontId="39" fillId="0" borderId="2" xfId="17" applyNumberFormat="1" applyFont="1" applyFill="1" applyBorder="1" applyAlignment="1">
      <alignment vertical="center"/>
    </xf>
    <xf numFmtId="41" fontId="39" fillId="0" borderId="2" xfId="0" applyNumberFormat="1" applyFont="1" applyFill="1" applyBorder="1" applyAlignment="1">
      <alignment horizontal="right" vertical="center" wrapText="1" readingOrder="1"/>
    </xf>
    <xf numFmtId="41" fontId="31" fillId="0" borderId="2" xfId="0" quotePrefix="1" applyNumberFormat="1" applyFont="1" applyFill="1" applyBorder="1" applyAlignment="1">
      <alignment horizontal="justify" vertical="center" wrapText="1"/>
    </xf>
    <xf numFmtId="41" fontId="30" fillId="0" borderId="2" xfId="0" applyNumberFormat="1" applyFont="1" applyFill="1" applyBorder="1" applyAlignment="1">
      <alignment horizontal="justify" vertical="center" wrapText="1"/>
    </xf>
    <xf numFmtId="41" fontId="31" fillId="0" borderId="2" xfId="0" applyNumberFormat="1" applyFont="1" applyFill="1" applyBorder="1" applyAlignment="1">
      <alignment vertical="center"/>
    </xf>
    <xf numFmtId="41" fontId="30" fillId="0" borderId="2" xfId="0" applyNumberFormat="1" applyFont="1" applyFill="1" applyBorder="1" applyAlignment="1">
      <alignment horizontal="center" vertical="center" wrapText="1"/>
    </xf>
    <xf numFmtId="41" fontId="30" fillId="0" borderId="2" xfId="0" applyNumberFormat="1" applyFont="1" applyFill="1" applyBorder="1" applyAlignment="1">
      <alignment vertical="center"/>
    </xf>
    <xf numFmtId="0" fontId="30" fillId="0" borderId="2" xfId="0" applyFont="1" applyFill="1" applyBorder="1"/>
    <xf numFmtId="167" fontId="30" fillId="0" borderId="2" xfId="0" applyNumberFormat="1" applyFont="1" applyFill="1" applyBorder="1" applyAlignment="1" applyProtection="1">
      <alignment horizontal="left" vertical="center"/>
    </xf>
    <xf numFmtId="0" fontId="3" fillId="0" borderId="2" xfId="0" applyFont="1" applyFill="1" applyBorder="1" applyAlignment="1">
      <alignment vertical="center" wrapText="1"/>
    </xf>
    <xf numFmtId="0" fontId="8" fillId="0" borderId="2" xfId="4" applyFont="1" applyFill="1" applyBorder="1"/>
    <xf numFmtId="0" fontId="7" fillId="0" borderId="2" xfId="4" applyFont="1" applyFill="1" applyBorder="1"/>
    <xf numFmtId="0" fontId="7" fillId="0" borderId="2" xfId="0" applyFont="1" applyFill="1" applyBorder="1"/>
    <xf numFmtId="0" fontId="3" fillId="0" borderId="2" xfId="4" applyFont="1" applyFill="1" applyBorder="1"/>
    <xf numFmtId="1" fontId="3" fillId="0" borderId="2" xfId="4" applyNumberFormat="1" applyFont="1" applyFill="1" applyBorder="1"/>
    <xf numFmtId="167" fontId="31" fillId="0" borderId="17" xfId="0" applyNumberFormat="1" applyFont="1" applyFill="1" applyBorder="1" applyAlignment="1">
      <alignment horizontal="center" vertical="center"/>
    </xf>
    <xf numFmtId="167" fontId="31" fillId="0" borderId="17" xfId="0" applyNumberFormat="1" applyFont="1" applyFill="1" applyBorder="1" applyAlignment="1" applyProtection="1">
      <alignment horizontal="justify" vertical="center" wrapText="1"/>
    </xf>
    <xf numFmtId="167" fontId="31" fillId="0" borderId="17" xfId="0" applyNumberFormat="1" applyFont="1" applyFill="1" applyBorder="1" applyAlignment="1" applyProtection="1">
      <alignment vertical="center" wrapText="1"/>
    </xf>
    <xf numFmtId="0" fontId="30" fillId="0" borderId="17" xfId="0" applyFont="1" applyFill="1" applyBorder="1"/>
    <xf numFmtId="167" fontId="31" fillId="0" borderId="4" xfId="0" applyNumberFormat="1" applyFont="1" applyFill="1" applyBorder="1" applyAlignment="1" applyProtection="1">
      <alignment vertical="center" wrapText="1"/>
    </xf>
    <xf numFmtId="167" fontId="31" fillId="0" borderId="4" xfId="0" applyNumberFormat="1" applyFont="1" applyFill="1" applyBorder="1" applyAlignment="1" applyProtection="1">
      <alignment vertical="center"/>
    </xf>
    <xf numFmtId="0" fontId="3" fillId="0" borderId="0" xfId="4" applyFont="1" applyFill="1" applyAlignment="1">
      <alignment horizontal="center" vertical="center"/>
    </xf>
    <xf numFmtId="0" fontId="43" fillId="0" borderId="2" xfId="0" applyNumberFormat="1" applyFont="1" applyFill="1" applyBorder="1" applyAlignment="1">
      <alignment horizontal="left" vertical="center" wrapText="1" readingOrder="1"/>
    </xf>
    <xf numFmtId="0" fontId="3" fillId="0" borderId="4" xfId="0" applyFont="1" applyFill="1" applyBorder="1" applyAlignment="1">
      <alignment horizontal="center"/>
    </xf>
    <xf numFmtId="0" fontId="43" fillId="0" borderId="4" xfId="0" applyNumberFormat="1" applyFont="1" applyFill="1" applyBorder="1" applyAlignment="1">
      <alignment horizontal="left" vertical="center" wrapText="1" readingOrder="1"/>
    </xf>
    <xf numFmtId="3" fontId="3" fillId="0" borderId="4" xfId="0" applyNumberFormat="1" applyFont="1" applyFill="1" applyBorder="1"/>
    <xf numFmtId="0" fontId="3" fillId="0" borderId="2" xfId="0" applyNumberFormat="1" applyFont="1" applyFill="1" applyBorder="1" applyAlignment="1">
      <alignment horizontal="left" vertical="center" wrapText="1" readingOrder="1"/>
    </xf>
    <xf numFmtId="0" fontId="3" fillId="2" borderId="2" xfId="0" applyNumberFormat="1" applyFont="1" applyFill="1" applyBorder="1" applyAlignment="1">
      <alignment horizontal="left" vertical="center" wrapText="1" readingOrder="1"/>
    </xf>
    <xf numFmtId="0" fontId="3" fillId="0" borderId="4" xfId="0" applyNumberFormat="1" applyFont="1" applyFill="1" applyBorder="1" applyAlignment="1">
      <alignment horizontal="left" vertical="center" wrapText="1" readingOrder="1"/>
    </xf>
    <xf numFmtId="0" fontId="44" fillId="0" borderId="0" xfId="4" applyFont="1" applyFill="1" applyAlignment="1">
      <alignment horizontal="centerContinuous"/>
    </xf>
    <xf numFmtId="0" fontId="3" fillId="0" borderId="7" xfId="4" applyFont="1" applyFill="1" applyBorder="1" applyAlignment="1">
      <alignment horizontal="center" vertical="center" wrapText="1"/>
    </xf>
    <xf numFmtId="0" fontId="45" fillId="0" borderId="1" xfId="0" applyNumberFormat="1" applyFont="1" applyFill="1" applyBorder="1" applyAlignment="1">
      <alignment horizontal="center" vertical="center" wrapText="1" readingOrder="1"/>
    </xf>
    <xf numFmtId="0" fontId="4" fillId="0" borderId="1" xfId="4" applyFont="1" applyFill="1" applyBorder="1"/>
    <xf numFmtId="0" fontId="45" fillId="0" borderId="2" xfId="0" applyNumberFormat="1" applyFont="1" applyFill="1" applyBorder="1" applyAlignment="1">
      <alignment horizontal="center" vertical="center" wrapText="1" readingOrder="1"/>
    </xf>
    <xf numFmtId="0" fontId="45" fillId="0" borderId="2" xfId="0" applyNumberFormat="1" applyFont="1" applyFill="1" applyBorder="1" applyAlignment="1">
      <alignment horizontal="left" vertical="center" wrapText="1" readingOrder="1"/>
    </xf>
    <xf numFmtId="0" fontId="4" fillId="0" borderId="2" xfId="4" applyFont="1" applyFill="1" applyBorder="1"/>
    <xf numFmtId="0" fontId="43" fillId="0" borderId="2" xfId="0" applyNumberFormat="1" applyFont="1" applyFill="1" applyBorder="1" applyAlignment="1">
      <alignment horizontal="center" vertical="center" wrapText="1" readingOrder="1"/>
    </xf>
    <xf numFmtId="0" fontId="43" fillId="0" borderId="2" xfId="13" quotePrefix="1" applyNumberFormat="1" applyFont="1" applyFill="1" applyBorder="1" applyAlignment="1">
      <alignment horizontal="left" vertical="center" wrapText="1"/>
    </xf>
    <xf numFmtId="0" fontId="43" fillId="0" borderId="4" xfId="0" applyNumberFormat="1" applyFont="1" applyFill="1" applyBorder="1" applyAlignment="1">
      <alignment horizontal="center" vertical="center" wrapText="1" readingOrder="1"/>
    </xf>
    <xf numFmtId="0" fontId="3" fillId="0" borderId="4" xfId="4" applyFont="1" applyFill="1" applyBorder="1"/>
    <xf numFmtId="3" fontId="46" fillId="0" borderId="2" xfId="0" applyNumberFormat="1" applyFont="1" applyFill="1" applyBorder="1"/>
    <xf numFmtId="3" fontId="46" fillId="0" borderId="5" xfId="0" applyNumberFormat="1" applyFont="1" applyFill="1" applyBorder="1"/>
    <xf numFmtId="0" fontId="4" fillId="0" borderId="1" xfId="4" applyFont="1" applyFill="1" applyBorder="1" applyAlignment="1">
      <alignment horizontal="right" readingOrder="1"/>
    </xf>
    <xf numFmtId="3" fontId="45" fillId="0" borderId="1" xfId="4" applyNumberFormat="1" applyFont="1" applyFill="1" applyBorder="1" applyAlignment="1">
      <alignment horizontal="right" readingOrder="1"/>
    </xf>
    <xf numFmtId="3" fontId="3" fillId="0" borderId="1" xfId="4" applyNumberFormat="1" applyFont="1" applyFill="1" applyBorder="1" applyAlignment="1">
      <alignment horizontal="right" readingOrder="1"/>
    </xf>
    <xf numFmtId="1" fontId="45" fillId="0" borderId="1" xfId="4" applyNumberFormat="1" applyFont="1" applyFill="1" applyBorder="1" applyAlignment="1">
      <alignment horizontal="right" readingOrder="1"/>
    </xf>
    <xf numFmtId="0" fontId="4" fillId="0" borderId="2" xfId="4" applyFont="1" applyFill="1" applyBorder="1" applyAlignment="1">
      <alignment horizontal="right" readingOrder="1"/>
    </xf>
    <xf numFmtId="3" fontId="45" fillId="0" borderId="2" xfId="4" applyNumberFormat="1" applyFont="1" applyFill="1" applyBorder="1" applyAlignment="1">
      <alignment horizontal="right" readingOrder="1"/>
    </xf>
    <xf numFmtId="3" fontId="3" fillId="0" borderId="2" xfId="4" applyNumberFormat="1" applyFont="1" applyFill="1" applyBorder="1" applyAlignment="1">
      <alignment horizontal="right" readingOrder="1"/>
    </xf>
    <xf numFmtId="0" fontId="45" fillId="0" borderId="2" xfId="4" applyFont="1" applyFill="1" applyBorder="1" applyAlignment="1">
      <alignment horizontal="right" readingOrder="1"/>
    </xf>
    <xf numFmtId="3" fontId="43" fillId="0" borderId="2" xfId="4" applyNumberFormat="1" applyFont="1" applyFill="1" applyBorder="1" applyAlignment="1">
      <alignment horizontal="right" readingOrder="1"/>
    </xf>
    <xf numFmtId="0" fontId="3" fillId="0" borderId="2" xfId="4" applyFont="1" applyFill="1" applyBorder="1" applyAlignment="1">
      <alignment horizontal="right" readingOrder="1"/>
    </xf>
    <xf numFmtId="0" fontId="43" fillId="0" borderId="2" xfId="4" applyFont="1" applyFill="1" applyBorder="1" applyAlignment="1">
      <alignment horizontal="right" readingOrder="1"/>
    </xf>
    <xf numFmtId="1" fontId="43" fillId="0" borderId="2" xfId="4" applyNumberFormat="1" applyFont="1" applyFill="1" applyBorder="1" applyAlignment="1">
      <alignment horizontal="right" readingOrder="1"/>
    </xf>
    <xf numFmtId="1" fontId="45" fillId="0" borderId="2" xfId="4" applyNumberFormat="1" applyFont="1" applyFill="1" applyBorder="1" applyAlignment="1">
      <alignment horizontal="right" readingOrder="1"/>
    </xf>
    <xf numFmtId="0" fontId="8" fillId="0" borderId="2" xfId="4" applyFont="1" applyFill="1" applyBorder="1" applyAlignment="1">
      <alignment horizontal="right" readingOrder="1"/>
    </xf>
    <xf numFmtId="0" fontId="3" fillId="0" borderId="4" xfId="4" applyFont="1" applyFill="1" applyBorder="1" applyAlignment="1">
      <alignment horizontal="right" readingOrder="1"/>
    </xf>
    <xf numFmtId="0" fontId="43" fillId="0" borderId="4" xfId="4" applyFont="1" applyFill="1" applyBorder="1" applyAlignment="1">
      <alignment horizontal="right" readingOrder="1"/>
    </xf>
    <xf numFmtId="3" fontId="43" fillId="0" borderId="4" xfId="4" applyNumberFormat="1" applyFont="1" applyFill="1" applyBorder="1" applyAlignment="1">
      <alignment horizontal="right" readingOrder="1"/>
    </xf>
    <xf numFmtId="1" fontId="43" fillId="0" borderId="4" xfId="4" applyNumberFormat="1" applyFont="1" applyFill="1" applyBorder="1" applyAlignment="1">
      <alignment horizontal="right" readingOrder="1"/>
    </xf>
    <xf numFmtId="168" fontId="45" fillId="0" borderId="1" xfId="0" applyNumberFormat="1" applyFont="1" applyFill="1" applyBorder="1" applyAlignment="1">
      <alignment horizontal="right" wrapText="1" readingOrder="1"/>
    </xf>
    <xf numFmtId="168" fontId="45" fillId="0" borderId="2" xfId="0" applyNumberFormat="1" applyFont="1" applyFill="1" applyBorder="1" applyAlignment="1">
      <alignment horizontal="right" wrapText="1" readingOrder="1"/>
    </xf>
    <xf numFmtId="168" fontId="43" fillId="0" borderId="2" xfId="0" applyNumberFormat="1" applyFont="1" applyFill="1" applyBorder="1" applyAlignment="1">
      <alignment horizontal="right" wrapText="1" readingOrder="1"/>
    </xf>
    <xf numFmtId="168" fontId="43" fillId="0" borderId="4" xfId="0" applyNumberFormat="1" applyFont="1" applyFill="1" applyBorder="1" applyAlignment="1">
      <alignment horizontal="right" wrapText="1" readingOrder="1"/>
    </xf>
    <xf numFmtId="166" fontId="4" fillId="0" borderId="4" xfId="11" applyNumberFormat="1" applyFont="1" applyFill="1" applyBorder="1" applyAlignment="1">
      <alignment vertical="center" wrapText="1"/>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16" fillId="0" borderId="0" xfId="0" applyFont="1" applyFill="1" applyBorder="1" applyAlignment="1">
      <alignment horizontal="right"/>
    </xf>
    <xf numFmtId="0" fontId="4"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9" fillId="0" borderId="6" xfId="4"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Alignment="1">
      <alignment horizontal="left"/>
    </xf>
    <xf numFmtId="0" fontId="20" fillId="0" borderId="7" xfId="0" applyFont="1" applyFill="1" applyBorder="1" applyAlignment="1">
      <alignment horizontal="center" vertical="center" wrapText="1"/>
    </xf>
    <xf numFmtId="0" fontId="19" fillId="0" borderId="8" xfId="4" applyFont="1" applyFill="1" applyBorder="1" applyAlignment="1">
      <alignment horizontal="center" vertical="center" wrapText="1"/>
    </xf>
    <xf numFmtId="0" fontId="20" fillId="0" borderId="9" xfId="0" applyFont="1" applyFill="1" applyBorder="1" applyAlignment="1">
      <alignment vertical="center" wrapText="1"/>
    </xf>
    <xf numFmtId="0" fontId="5" fillId="0" borderId="0" xfId="0" applyNumberFormat="1" applyFont="1" applyFill="1" applyAlignment="1">
      <alignment horizontal="center" vertical="center" wrapText="1"/>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4" fillId="0" borderId="0" xfId="9" applyFont="1" applyFill="1" applyAlignment="1">
      <alignment horizontal="center"/>
    </xf>
    <xf numFmtId="0" fontId="23" fillId="0" borderId="0" xfId="9" applyFont="1" applyFill="1" applyAlignment="1">
      <alignment horizontal="center"/>
    </xf>
    <xf numFmtId="167" fontId="30" fillId="0" borderId="16" xfId="0" applyNumberFormat="1" applyFont="1" applyFill="1" applyBorder="1" applyAlignment="1" applyProtection="1">
      <alignment horizontal="center" vertical="center" wrapText="1"/>
    </xf>
    <xf numFmtId="167" fontId="30" fillId="0" borderId="16" xfId="0" applyNumberFormat="1" applyFont="1" applyFill="1" applyBorder="1" applyAlignment="1">
      <alignment horizontal="center" vertical="center" wrapText="1"/>
    </xf>
    <xf numFmtId="0" fontId="30" fillId="0" borderId="16" xfId="0" applyFont="1" applyFill="1" applyBorder="1" applyAlignment="1">
      <alignment horizontal="center" vertical="center"/>
    </xf>
    <xf numFmtId="0" fontId="30" fillId="0" borderId="16"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4" applyFont="1" applyFill="1" applyAlignment="1">
      <alignment horizontal="center" vertical="center"/>
    </xf>
    <xf numFmtId="167" fontId="30" fillId="0" borderId="6" xfId="0" applyNumberFormat="1" applyFont="1" applyFill="1" applyBorder="1" applyAlignment="1" applyProtection="1">
      <alignment horizontal="center" vertical="center" wrapText="1"/>
    </xf>
    <xf numFmtId="167" fontId="30" fillId="0" borderId="7" xfId="0" applyNumberFormat="1" applyFont="1" applyFill="1" applyBorder="1" applyAlignment="1" applyProtection="1">
      <alignment horizontal="center" vertical="center" wrapText="1"/>
    </xf>
    <xf numFmtId="167" fontId="30" fillId="0" borderId="10" xfId="0" applyNumberFormat="1" applyFont="1" applyFill="1" applyBorder="1" applyAlignment="1" applyProtection="1">
      <alignment horizontal="center" vertical="center" wrapText="1"/>
    </xf>
    <xf numFmtId="0" fontId="30" fillId="0" borderId="13" xfId="4" applyFont="1" applyFill="1" applyBorder="1" applyAlignment="1">
      <alignment horizontal="center" vertical="center"/>
    </xf>
    <xf numFmtId="0" fontId="30" fillId="0" borderId="15" xfId="4" applyFont="1" applyFill="1" applyBorder="1" applyAlignment="1">
      <alignment horizontal="center" vertical="center"/>
    </xf>
    <xf numFmtId="0" fontId="30" fillId="0" borderId="14" xfId="4" applyFont="1" applyFill="1" applyBorder="1" applyAlignment="1">
      <alignment horizontal="center" vertical="center"/>
    </xf>
    <xf numFmtId="0" fontId="7" fillId="0" borderId="0" xfId="0" applyFont="1" applyFill="1" applyBorder="1" applyAlignment="1">
      <alignment horizontal="center"/>
    </xf>
    <xf numFmtId="0" fontId="5" fillId="0" borderId="0" xfId="0" applyFont="1" applyFill="1" applyBorder="1" applyAlignment="1">
      <alignment horizontal="right"/>
    </xf>
    <xf numFmtId="0" fontId="4" fillId="0"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7" xfId="4" applyFont="1" applyFill="1" applyBorder="1" applyAlignment="1">
      <alignment horizontal="center" vertical="center" wrapText="1"/>
    </xf>
    <xf numFmtId="0" fontId="4" fillId="0" borderId="13" xfId="4" applyFont="1" applyFill="1" applyBorder="1" applyAlignment="1">
      <alignment horizontal="center" vertical="center"/>
    </xf>
    <xf numFmtId="0" fontId="0" fillId="0" borderId="15" xfId="0" applyFill="1" applyBorder="1"/>
    <xf numFmtId="0" fontId="0" fillId="0" borderId="14" xfId="0" applyFill="1" applyBorder="1"/>
    <xf numFmtId="0" fontId="3" fillId="0" borderId="13" xfId="4" applyFont="1" applyFill="1" applyBorder="1" applyAlignment="1">
      <alignment horizontal="center" vertical="center" wrapText="1"/>
    </xf>
    <xf numFmtId="0" fontId="3" fillId="0" borderId="15"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5" fillId="0" borderId="0" xfId="4" applyFont="1" applyFill="1" applyBorder="1" applyAlignment="1">
      <alignment horizontal="right"/>
    </xf>
    <xf numFmtId="0" fontId="4" fillId="0" borderId="13" xfId="4" applyFont="1" applyFill="1" applyBorder="1" applyAlignment="1">
      <alignment horizontal="center"/>
    </xf>
    <xf numFmtId="0" fontId="3" fillId="0" borderId="15" xfId="4" applyFont="1" applyFill="1" applyBorder="1" applyAlignment="1">
      <alignment horizontal="center"/>
    </xf>
    <xf numFmtId="0" fontId="3" fillId="0" borderId="14" xfId="4" applyFont="1" applyFill="1" applyBorder="1" applyAlignment="1">
      <alignment horizontal="center"/>
    </xf>
    <xf numFmtId="0" fontId="4" fillId="0" borderId="15" xfId="4" applyFont="1" applyFill="1" applyBorder="1" applyAlignment="1">
      <alignment horizontal="center"/>
    </xf>
  </cellXfs>
  <cellStyles count="19">
    <cellStyle name="Comma 2" xfId="1"/>
    <cellStyle name="Comma 2 2" xfId="16"/>
    <cellStyle name="Comma 2 2 2" xfId="17"/>
    <cellStyle name="Comma 20" xfId="12"/>
    <cellStyle name="Comma 28" xfId="14"/>
    <cellStyle name="Currency 2" xfId="2"/>
    <cellStyle name="HAI" xfId="3"/>
    <cellStyle name="Normal" xfId="0" builtinId="0"/>
    <cellStyle name="Normal 10 2" xfId="13"/>
    <cellStyle name="Normal 18" xfId="15"/>
    <cellStyle name="Normal 2" xfId="4"/>
    <cellStyle name="Normal 3" xfId="5"/>
    <cellStyle name="Normal 33" xfId="18"/>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A5" sqref="A5"/>
    </sheetView>
  </sheetViews>
  <sheetFormatPr defaultColWidth="12.85546875" defaultRowHeight="15.75"/>
  <cols>
    <col min="1" max="1" width="7.28515625" style="4" customWidth="1"/>
    <col min="2" max="2" width="55.7109375" style="4" customWidth="1"/>
    <col min="3" max="3" width="12.140625" style="4" bestFit="1" customWidth="1"/>
    <col min="4" max="4" width="12.42578125" style="4" customWidth="1"/>
    <col min="5" max="5" width="11" style="4" customWidth="1"/>
    <col min="6" max="16384" width="12.85546875" style="4"/>
  </cols>
  <sheetData>
    <row r="1" spans="1:8" ht="21" customHeight="1">
      <c r="A1" s="1" t="s">
        <v>185</v>
      </c>
      <c r="B1" s="1"/>
      <c r="C1" s="1"/>
      <c r="D1" s="274" t="s">
        <v>40</v>
      </c>
      <c r="E1" s="275"/>
      <c r="F1" s="1"/>
    </row>
    <row r="2" spans="1:8" ht="18.75">
      <c r="A2" s="5"/>
      <c r="B2" s="5"/>
      <c r="C2" s="3"/>
      <c r="D2" s="3"/>
      <c r="E2" s="3"/>
    </row>
    <row r="3" spans="1:8" ht="21" customHeight="1">
      <c r="A3" s="2" t="s">
        <v>186</v>
      </c>
      <c r="B3" s="21"/>
      <c r="C3" s="22"/>
      <c r="D3" s="22"/>
      <c r="E3" s="22"/>
    </row>
    <row r="4" spans="1:8" ht="21" customHeight="1">
      <c r="A4" s="276" t="s">
        <v>971</v>
      </c>
      <c r="B4" s="276"/>
      <c r="C4" s="276"/>
      <c r="D4" s="276"/>
      <c r="E4" s="276"/>
      <c r="F4" s="27"/>
      <c r="G4" s="27"/>
      <c r="H4" s="27"/>
    </row>
    <row r="5" spans="1:8" ht="19.5" customHeight="1">
      <c r="A5" s="146"/>
      <c r="B5" s="146"/>
      <c r="C5" s="28"/>
      <c r="D5" s="277" t="s">
        <v>0</v>
      </c>
      <c r="E5" s="277"/>
    </row>
    <row r="6" spans="1:8">
      <c r="A6" s="278" t="s">
        <v>1</v>
      </c>
      <c r="B6" s="278" t="s">
        <v>2</v>
      </c>
      <c r="C6" s="278" t="s">
        <v>38</v>
      </c>
      <c r="D6" s="278" t="s">
        <v>41</v>
      </c>
      <c r="E6" s="278" t="s">
        <v>42</v>
      </c>
    </row>
    <row r="7" spans="1:8">
      <c r="A7" s="279"/>
      <c r="B7" s="279"/>
      <c r="C7" s="279"/>
      <c r="D7" s="279"/>
      <c r="E7" s="279"/>
    </row>
    <row r="8" spans="1:8" s="6" customFormat="1" ht="19.5" customHeight="1">
      <c r="A8" s="7" t="s">
        <v>3</v>
      </c>
      <c r="B8" s="16" t="s">
        <v>5</v>
      </c>
      <c r="C8" s="61">
        <v>12518853</v>
      </c>
      <c r="D8" s="61">
        <v>14340494</v>
      </c>
      <c r="E8" s="61">
        <f>D8/C8*100</f>
        <v>114.55118132627646</v>
      </c>
    </row>
    <row r="9" spans="1:8" s="6" customFormat="1" ht="19.5" customHeight="1">
      <c r="A9" s="9">
        <v>1</v>
      </c>
      <c r="B9" s="18" t="s">
        <v>43</v>
      </c>
      <c r="C9" s="121">
        <v>4600400</v>
      </c>
      <c r="D9" s="121">
        <v>4814336</v>
      </c>
      <c r="E9" s="121">
        <f t="shared" ref="E9:E37" si="0">D9/C9*100</f>
        <v>104.65037822798018</v>
      </c>
    </row>
    <row r="10" spans="1:8" s="6" customFormat="1" ht="19.5" customHeight="1">
      <c r="A10" s="9" t="s">
        <v>36</v>
      </c>
      <c r="B10" s="10" t="s">
        <v>7</v>
      </c>
      <c r="C10" s="121">
        <v>2145334</v>
      </c>
      <c r="D10" s="121">
        <v>2245100</v>
      </c>
      <c r="E10" s="121">
        <f t="shared" si="0"/>
        <v>104.65037145731155</v>
      </c>
    </row>
    <row r="11" spans="1:8" s="6" customFormat="1" ht="19.5" customHeight="1">
      <c r="A11" s="9" t="s">
        <v>36</v>
      </c>
      <c r="B11" s="10" t="s">
        <v>8</v>
      </c>
      <c r="C11" s="121">
        <v>2455066</v>
      </c>
      <c r="D11" s="121">
        <v>2569236</v>
      </c>
      <c r="E11" s="121">
        <f t="shared" si="0"/>
        <v>104.65038414445884</v>
      </c>
    </row>
    <row r="12" spans="1:8" s="15" customFormat="1" ht="19.5" customHeight="1">
      <c r="A12" s="9">
        <f>A9+1</f>
        <v>2</v>
      </c>
      <c r="B12" s="18" t="s">
        <v>10</v>
      </c>
      <c r="C12" s="65">
        <v>7851353</v>
      </c>
      <c r="D12" s="65">
        <v>7685101</v>
      </c>
      <c r="E12" s="121">
        <f t="shared" si="0"/>
        <v>97.882505091797555</v>
      </c>
    </row>
    <row r="13" spans="1:8" s="6" customFormat="1" ht="19.5" customHeight="1">
      <c r="A13" s="11" t="s">
        <v>36</v>
      </c>
      <c r="B13" s="18" t="s">
        <v>37</v>
      </c>
      <c r="C13" s="121">
        <v>5075218</v>
      </c>
      <c r="D13" s="121">
        <v>5903214</v>
      </c>
      <c r="E13" s="121">
        <f t="shared" si="0"/>
        <v>116.31449131840247</v>
      </c>
    </row>
    <row r="14" spans="1:8" s="6" customFormat="1" ht="19.5" customHeight="1">
      <c r="A14" s="11" t="s">
        <v>36</v>
      </c>
      <c r="B14" s="18" t="s">
        <v>11</v>
      </c>
      <c r="C14" s="121">
        <v>2776135</v>
      </c>
      <c r="D14" s="121">
        <v>1754884</v>
      </c>
      <c r="E14" s="121">
        <f t="shared" si="0"/>
        <v>63.213208291383523</v>
      </c>
    </row>
    <row r="15" spans="1:8" s="15" customFormat="1" ht="19.5" customHeight="1">
      <c r="A15" s="9">
        <f>A12+1</f>
        <v>3</v>
      </c>
      <c r="B15" s="18" t="s">
        <v>13</v>
      </c>
      <c r="C15" s="65"/>
      <c r="D15" s="65"/>
      <c r="E15" s="121"/>
    </row>
    <row r="16" spans="1:8" s="15" customFormat="1" ht="19.5" customHeight="1">
      <c r="A16" s="9">
        <f>A15+1</f>
        <v>4</v>
      </c>
      <c r="B16" s="18" t="s">
        <v>14</v>
      </c>
      <c r="C16" s="65"/>
      <c r="D16" s="65">
        <v>95800</v>
      </c>
      <c r="E16" s="121"/>
    </row>
    <row r="17" spans="1:5" s="15" customFormat="1" ht="19.5" customHeight="1">
      <c r="A17" s="9">
        <f>A16+1</f>
        <v>5</v>
      </c>
      <c r="B17" s="18" t="s">
        <v>15</v>
      </c>
      <c r="C17" s="65"/>
      <c r="D17" s="65">
        <v>1573001</v>
      </c>
      <c r="E17" s="121"/>
    </row>
    <row r="18" spans="1:5" s="6" customFormat="1" ht="19.5" customHeight="1">
      <c r="A18" s="8" t="s">
        <v>4</v>
      </c>
      <c r="B18" s="17" t="s">
        <v>16</v>
      </c>
      <c r="C18" s="62">
        <v>12518853</v>
      </c>
      <c r="D18" s="62">
        <v>14175687</v>
      </c>
      <c r="E18" s="62">
        <f t="shared" si="0"/>
        <v>113.23471087966286</v>
      </c>
    </row>
    <row r="19" spans="1:5" s="6" customFormat="1" ht="19.5" customHeight="1">
      <c r="A19" s="8" t="s">
        <v>6</v>
      </c>
      <c r="B19" s="19" t="s">
        <v>39</v>
      </c>
      <c r="C19" s="62">
        <v>10831669</v>
      </c>
      <c r="D19" s="62">
        <v>10779719</v>
      </c>
      <c r="E19" s="62">
        <f t="shared" si="0"/>
        <v>99.520387855278813</v>
      </c>
    </row>
    <row r="20" spans="1:5" s="6" customFormat="1" ht="19.5" customHeight="1">
      <c r="A20" s="9">
        <v>1</v>
      </c>
      <c r="B20" s="18" t="s">
        <v>17</v>
      </c>
      <c r="C20" s="65">
        <v>2539450</v>
      </c>
      <c r="D20" s="65">
        <v>2426821</v>
      </c>
      <c r="E20" s="121">
        <f t="shared" si="0"/>
        <v>95.564827029474884</v>
      </c>
    </row>
    <row r="21" spans="1:5" s="6" customFormat="1" ht="19.5" customHeight="1">
      <c r="A21" s="9">
        <v>2</v>
      </c>
      <c r="B21" s="18" t="s">
        <v>18</v>
      </c>
      <c r="C21" s="65">
        <v>8078547</v>
      </c>
      <c r="D21" s="65">
        <v>8349293</v>
      </c>
      <c r="E21" s="121">
        <f t="shared" si="0"/>
        <v>103.35141950650284</v>
      </c>
    </row>
    <row r="22" spans="1:5" s="6" customFormat="1" ht="19.5" customHeight="1">
      <c r="A22" s="9">
        <v>3</v>
      </c>
      <c r="B22" s="18" t="s">
        <v>19</v>
      </c>
      <c r="C22" s="65">
        <v>3700</v>
      </c>
      <c r="D22" s="65">
        <v>2305</v>
      </c>
      <c r="E22" s="121">
        <f t="shared" si="0"/>
        <v>62.297297297297291</v>
      </c>
    </row>
    <row r="23" spans="1:5" ht="19.5" customHeight="1">
      <c r="A23" s="9">
        <v>4</v>
      </c>
      <c r="B23" s="18" t="s">
        <v>20</v>
      </c>
      <c r="C23" s="18">
        <v>1300</v>
      </c>
      <c r="D23" s="18">
        <v>1300</v>
      </c>
      <c r="E23" s="18">
        <f t="shared" si="0"/>
        <v>100</v>
      </c>
    </row>
    <row r="24" spans="1:5" ht="19.5" customHeight="1">
      <c r="A24" s="9">
        <v>5</v>
      </c>
      <c r="B24" s="18" t="s">
        <v>21</v>
      </c>
      <c r="C24" s="18">
        <v>208672</v>
      </c>
      <c r="D24" s="18"/>
      <c r="E24" s="18">
        <f t="shared" si="0"/>
        <v>0</v>
      </c>
    </row>
    <row r="25" spans="1:5" ht="19.5" customHeight="1">
      <c r="A25" s="9">
        <v>6</v>
      </c>
      <c r="B25" s="18" t="s">
        <v>22</v>
      </c>
      <c r="C25" s="18"/>
      <c r="D25" s="18"/>
      <c r="E25" s="18"/>
    </row>
    <row r="26" spans="1:5" s="6" customFormat="1" ht="19.5" customHeight="1">
      <c r="A26" s="8" t="s">
        <v>9</v>
      </c>
      <c r="B26" s="19" t="s">
        <v>23</v>
      </c>
      <c r="C26" s="62">
        <v>1687184</v>
      </c>
      <c r="D26" s="62">
        <v>1618588</v>
      </c>
      <c r="E26" s="62">
        <f t="shared" si="0"/>
        <v>95.934290510104418</v>
      </c>
    </row>
    <row r="27" spans="1:5" s="6" customFormat="1" ht="19.5" customHeight="1">
      <c r="A27" s="9">
        <v>1</v>
      </c>
      <c r="B27" s="18" t="s">
        <v>24</v>
      </c>
      <c r="C27" s="121"/>
      <c r="D27" s="121">
        <v>32895.69872</v>
      </c>
      <c r="E27" s="121"/>
    </row>
    <row r="28" spans="1:5" s="6" customFormat="1" ht="19.5" customHeight="1">
      <c r="A28" s="9">
        <f>A27+1</f>
        <v>2</v>
      </c>
      <c r="B28" s="18" t="s">
        <v>25</v>
      </c>
      <c r="C28" s="121">
        <f>C26</f>
        <v>1687184</v>
      </c>
      <c r="D28" s="121">
        <v>1588692</v>
      </c>
      <c r="E28" s="121">
        <f t="shared" si="0"/>
        <v>94.162343881876538</v>
      </c>
    </row>
    <row r="29" spans="1:5" s="6" customFormat="1" ht="19.5" customHeight="1">
      <c r="A29" s="8" t="s">
        <v>12</v>
      </c>
      <c r="B29" s="19" t="s">
        <v>26</v>
      </c>
      <c r="C29" s="249"/>
      <c r="D29" s="62">
        <v>1473916</v>
      </c>
      <c r="E29" s="121"/>
    </row>
    <row r="30" spans="1:5" ht="23.25" customHeight="1">
      <c r="A30" s="25" t="s">
        <v>27</v>
      </c>
      <c r="B30" s="29" t="s">
        <v>44</v>
      </c>
      <c r="C30" s="62">
        <v>67100</v>
      </c>
      <c r="D30" s="62">
        <v>37301.241538500006</v>
      </c>
      <c r="E30" s="62">
        <f t="shared" si="0"/>
        <v>55.590523902384511</v>
      </c>
    </row>
    <row r="31" spans="1:5" s="6" customFormat="1" ht="19.5" customHeight="1">
      <c r="A31" s="8" t="s">
        <v>28</v>
      </c>
      <c r="B31" s="30" t="s">
        <v>29</v>
      </c>
      <c r="C31" s="62">
        <v>23120.806278000004</v>
      </c>
      <c r="D31" s="62">
        <v>23066.351419950002</v>
      </c>
      <c r="E31" s="62">
        <f t="shared" si="0"/>
        <v>99.764476820595064</v>
      </c>
    </row>
    <row r="32" spans="1:5" s="6" customFormat="1" ht="19.5" customHeight="1">
      <c r="A32" s="13">
        <v>1</v>
      </c>
      <c r="B32" s="14" t="s">
        <v>30</v>
      </c>
      <c r="C32" s="249"/>
      <c r="D32" s="249"/>
      <c r="E32" s="18"/>
    </row>
    <row r="33" spans="1:5" s="6" customFormat="1" ht="31.5">
      <c r="A33" s="13">
        <v>2</v>
      </c>
      <c r="B33" s="14" t="s">
        <v>31</v>
      </c>
      <c r="C33" s="121">
        <v>23120.806278000004</v>
      </c>
      <c r="D33" s="121">
        <v>23066.351419950002</v>
      </c>
      <c r="E33" s="149">
        <f t="shared" si="0"/>
        <v>99.764476820595064</v>
      </c>
    </row>
    <row r="34" spans="1:5" s="6" customFormat="1" ht="19.5" customHeight="1">
      <c r="A34" s="8" t="s">
        <v>32</v>
      </c>
      <c r="B34" s="20" t="s">
        <v>33</v>
      </c>
      <c r="C34" s="62">
        <v>67100</v>
      </c>
      <c r="D34" s="62">
        <v>37301.241538500006</v>
      </c>
      <c r="E34" s="128">
        <f t="shared" si="0"/>
        <v>55.590523902384511</v>
      </c>
    </row>
    <row r="35" spans="1:5" s="6" customFormat="1" ht="19.5" customHeight="1">
      <c r="A35" s="12">
        <v>1</v>
      </c>
      <c r="B35" s="26" t="s">
        <v>34</v>
      </c>
      <c r="C35" s="121">
        <v>67100</v>
      </c>
      <c r="D35" s="121">
        <v>37301.241538500006</v>
      </c>
      <c r="E35" s="149">
        <f t="shared" si="0"/>
        <v>55.590523902384511</v>
      </c>
    </row>
    <row r="36" spans="1:5" s="6" customFormat="1" ht="19.5" customHeight="1">
      <c r="A36" s="31">
        <v>2</v>
      </c>
      <c r="B36" s="32" t="s">
        <v>35</v>
      </c>
      <c r="C36" s="250"/>
      <c r="D36" s="250"/>
      <c r="E36" s="150"/>
    </row>
    <row r="37" spans="1:5" s="6" customFormat="1" ht="19.5" customHeight="1">
      <c r="A37" s="23" t="s">
        <v>45</v>
      </c>
      <c r="B37" s="24" t="s">
        <v>46</v>
      </c>
      <c r="C37" s="124">
        <v>269376.193722</v>
      </c>
      <c r="D37" s="124">
        <v>239631.89011855001</v>
      </c>
      <c r="E37" s="151">
        <f t="shared" si="0"/>
        <v>88.958080076613413</v>
      </c>
    </row>
    <row r="38" spans="1:5" ht="18.75">
      <c r="A38" s="15"/>
      <c r="B38" s="6"/>
      <c r="C38" s="6"/>
      <c r="D38" s="6"/>
    </row>
    <row r="39" spans="1:5" ht="18.75">
      <c r="A39" s="15"/>
    </row>
  </sheetData>
  <mergeCells count="8">
    <mergeCell ref="D1:E1"/>
    <mergeCell ref="A4:E4"/>
    <mergeCell ref="D5:E5"/>
    <mergeCell ref="A6:A7"/>
    <mergeCell ref="B6:B7"/>
    <mergeCell ref="C6:C7"/>
    <mergeCell ref="D6:D7"/>
    <mergeCell ref="E6:E7"/>
  </mergeCells>
  <pageMargins left="0.17" right="0.19" top="0.42" bottom="0.41" header="0.32"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A4" sqref="A4"/>
    </sheetView>
  </sheetViews>
  <sheetFormatPr defaultColWidth="12.85546875" defaultRowHeight="24.75" customHeight="1"/>
  <cols>
    <col min="1" max="1" width="7.28515625" style="35" customWidth="1"/>
    <col min="2" max="2" width="59" style="35" customWidth="1"/>
    <col min="3" max="3" width="14.42578125" style="35" customWidth="1"/>
    <col min="4" max="4" width="12.85546875" style="35" customWidth="1"/>
    <col min="5" max="5" width="13.7109375" style="35" customWidth="1"/>
    <col min="6" max="6" width="13.85546875" style="35" customWidth="1"/>
    <col min="7" max="7" width="11.5703125" style="35" customWidth="1"/>
    <col min="8" max="8" width="10" style="35" customWidth="1"/>
    <col min="9" max="16384" width="12.85546875" style="35"/>
  </cols>
  <sheetData>
    <row r="1" spans="1:8" ht="21" customHeight="1">
      <c r="A1" s="1" t="s">
        <v>185</v>
      </c>
      <c r="B1" s="1"/>
      <c r="C1" s="1"/>
      <c r="D1" s="33"/>
      <c r="E1" s="34"/>
      <c r="F1" s="34"/>
      <c r="G1" s="275" t="s">
        <v>47</v>
      </c>
      <c r="H1" s="275"/>
    </row>
    <row r="2" spans="1:8" ht="21" customHeight="1">
      <c r="A2" s="36" t="s">
        <v>187</v>
      </c>
      <c r="B2" s="37"/>
      <c r="C2" s="38"/>
      <c r="D2" s="38"/>
      <c r="E2" s="38"/>
      <c r="F2" s="38"/>
      <c r="G2" s="38"/>
      <c r="H2" s="38"/>
    </row>
    <row r="3" spans="1:8" ht="21" customHeight="1">
      <c r="A3" s="276" t="str">
        <f>'62'!A4:E4</f>
        <v>(Quyết toán đã được Hội đồng nhân dân phê duyệt)</v>
      </c>
      <c r="B3" s="276"/>
      <c r="C3" s="276"/>
      <c r="D3" s="276"/>
      <c r="E3" s="276"/>
      <c r="F3" s="276"/>
      <c r="G3" s="276"/>
      <c r="H3" s="276"/>
    </row>
    <row r="4" spans="1:8" ht="17.25" customHeight="1">
      <c r="A4" s="39"/>
      <c r="B4" s="39"/>
      <c r="C4" s="40"/>
      <c r="D4" s="40"/>
      <c r="E4" s="40"/>
      <c r="F4" s="40"/>
      <c r="G4" s="41"/>
      <c r="H4" s="42" t="s">
        <v>0</v>
      </c>
    </row>
    <row r="5" spans="1:8" s="43" customFormat="1" ht="23.25" customHeight="1">
      <c r="A5" s="280" t="s">
        <v>1</v>
      </c>
      <c r="B5" s="280" t="s">
        <v>2</v>
      </c>
      <c r="C5" s="284" t="s">
        <v>38</v>
      </c>
      <c r="D5" s="285"/>
      <c r="E5" s="284" t="s">
        <v>41</v>
      </c>
      <c r="F5" s="285"/>
      <c r="G5" s="284" t="s">
        <v>48</v>
      </c>
      <c r="H5" s="285"/>
    </row>
    <row r="6" spans="1:8" s="43" customFormat="1" ht="15">
      <c r="A6" s="283"/>
      <c r="B6" s="283"/>
      <c r="C6" s="280" t="s">
        <v>49</v>
      </c>
      <c r="D6" s="280" t="s">
        <v>50</v>
      </c>
      <c r="E6" s="280" t="s">
        <v>49</v>
      </c>
      <c r="F6" s="280" t="s">
        <v>50</v>
      </c>
      <c r="G6" s="280" t="s">
        <v>49</v>
      </c>
      <c r="H6" s="280" t="s">
        <v>50</v>
      </c>
    </row>
    <row r="7" spans="1:8" s="43" customFormat="1" ht="31.5" customHeight="1">
      <c r="A7" s="281"/>
      <c r="B7" s="281"/>
      <c r="C7" s="281"/>
      <c r="D7" s="281"/>
      <c r="E7" s="281"/>
      <c r="F7" s="281"/>
      <c r="G7" s="281"/>
      <c r="H7" s="281"/>
    </row>
    <row r="8" spans="1:8" s="40" customFormat="1" ht="18.600000000000001" customHeight="1">
      <c r="A8" s="7"/>
      <c r="B8" s="44" t="s">
        <v>51</v>
      </c>
      <c r="C8" s="136">
        <v>5070000</v>
      </c>
      <c r="D8" s="136">
        <v>4600400</v>
      </c>
      <c r="E8" s="136">
        <v>7283596.7999999998</v>
      </c>
      <c r="F8" s="136">
        <v>6483136.7999999998</v>
      </c>
      <c r="G8" s="136">
        <f>E8/C8*100</f>
        <v>143.66068639053253</v>
      </c>
      <c r="H8" s="136">
        <f>F8/D8*100</f>
        <v>140.92550213024955</v>
      </c>
    </row>
    <row r="9" spans="1:8" s="40" customFormat="1" ht="18.600000000000001" customHeight="1">
      <c r="A9" s="8" t="s">
        <v>3</v>
      </c>
      <c r="B9" s="45" t="s">
        <v>52</v>
      </c>
      <c r="C9" s="137">
        <v>5070000</v>
      </c>
      <c r="D9" s="137">
        <v>4600400</v>
      </c>
      <c r="E9" s="137">
        <v>5614795.7999999998</v>
      </c>
      <c r="F9" s="137">
        <v>4814335.8</v>
      </c>
      <c r="G9" s="137">
        <f t="shared" ref="G9:H36" si="0">E9/C9*100</f>
        <v>110.74547928994083</v>
      </c>
      <c r="H9" s="137">
        <f t="shared" si="0"/>
        <v>104.65037388053213</v>
      </c>
    </row>
    <row r="10" spans="1:8" s="40" customFormat="1" ht="18.600000000000001" customHeight="1">
      <c r="A10" s="8" t="s">
        <v>6</v>
      </c>
      <c r="B10" s="45" t="s">
        <v>53</v>
      </c>
      <c r="C10" s="137">
        <v>4820000</v>
      </c>
      <c r="D10" s="137">
        <v>4600400</v>
      </c>
      <c r="E10" s="137">
        <v>5188836.8</v>
      </c>
      <c r="F10" s="137">
        <v>4798359.8</v>
      </c>
      <c r="G10" s="137">
        <f t="shared" si="0"/>
        <v>107.65221576763484</v>
      </c>
      <c r="H10" s="137">
        <f t="shared" si="0"/>
        <v>104.30309973045821</v>
      </c>
    </row>
    <row r="11" spans="1:8" s="40" customFormat="1" ht="18.600000000000001" customHeight="1">
      <c r="A11" s="9">
        <v>1</v>
      </c>
      <c r="B11" s="10" t="s">
        <v>54</v>
      </c>
      <c r="C11" s="46">
        <v>1355600</v>
      </c>
      <c r="D11" s="46">
        <v>1355600</v>
      </c>
      <c r="E11" s="46">
        <v>926592.8</v>
      </c>
      <c r="F11" s="46">
        <v>926592.8</v>
      </c>
      <c r="G11" s="46">
        <f t="shared" si="0"/>
        <v>68.352965476541755</v>
      </c>
      <c r="H11" s="46">
        <f t="shared" si="0"/>
        <v>68.352965476541755</v>
      </c>
    </row>
    <row r="12" spans="1:8" s="40" customFormat="1" ht="18.600000000000001" customHeight="1">
      <c r="A12" s="9">
        <f>A11+1</f>
        <v>2</v>
      </c>
      <c r="B12" s="10" t="s">
        <v>55</v>
      </c>
      <c r="C12" s="46">
        <v>17000</v>
      </c>
      <c r="D12" s="46">
        <v>17000</v>
      </c>
      <c r="E12" s="46">
        <v>15659</v>
      </c>
      <c r="F12" s="46">
        <v>15659</v>
      </c>
      <c r="G12" s="46">
        <f t="shared" si="0"/>
        <v>92.111764705882351</v>
      </c>
      <c r="H12" s="46">
        <f t="shared" si="0"/>
        <v>92.111764705882351</v>
      </c>
    </row>
    <row r="13" spans="1:8" s="40" customFormat="1" ht="18.600000000000001" customHeight="1">
      <c r="A13" s="9">
        <f>A12+1</f>
        <v>3</v>
      </c>
      <c r="B13" s="10" t="s">
        <v>56</v>
      </c>
      <c r="C13" s="46">
        <v>110000</v>
      </c>
      <c r="D13" s="46">
        <v>110000</v>
      </c>
      <c r="E13" s="46">
        <v>100640</v>
      </c>
      <c r="F13" s="46">
        <v>100640</v>
      </c>
      <c r="G13" s="46">
        <f t="shared" si="0"/>
        <v>91.490909090909085</v>
      </c>
      <c r="H13" s="46">
        <f t="shared" si="0"/>
        <v>91.490909090909085</v>
      </c>
    </row>
    <row r="14" spans="1:8" s="40" customFormat="1" ht="18.600000000000001" customHeight="1">
      <c r="A14" s="9">
        <f>A13+1</f>
        <v>4</v>
      </c>
      <c r="B14" s="10" t="s">
        <v>57</v>
      </c>
      <c r="C14" s="46">
        <v>580000</v>
      </c>
      <c r="D14" s="46">
        <v>580000</v>
      </c>
      <c r="E14" s="46">
        <v>759521</v>
      </c>
      <c r="F14" s="46">
        <v>759510</v>
      </c>
      <c r="G14" s="46">
        <f t="shared" si="0"/>
        <v>130.95189655172413</v>
      </c>
      <c r="H14" s="46">
        <f t="shared" si="0"/>
        <v>130.95000000000002</v>
      </c>
    </row>
    <row r="15" spans="1:8" s="40" customFormat="1" ht="18.600000000000001" customHeight="1">
      <c r="A15" s="9">
        <f>A14+1</f>
        <v>5</v>
      </c>
      <c r="B15" s="10" t="s">
        <v>58</v>
      </c>
      <c r="C15" s="46">
        <v>123000</v>
      </c>
      <c r="D15" s="46">
        <v>123000</v>
      </c>
      <c r="E15" s="46">
        <v>192991</v>
      </c>
      <c r="F15" s="46">
        <v>192991</v>
      </c>
      <c r="G15" s="46">
        <f t="shared" si="0"/>
        <v>156.90325203252033</v>
      </c>
      <c r="H15" s="46">
        <f t="shared" si="0"/>
        <v>156.90325203252033</v>
      </c>
    </row>
    <row r="16" spans="1:8" s="40" customFormat="1" ht="18.600000000000001" customHeight="1">
      <c r="A16" s="9">
        <f>A15+1</f>
        <v>6</v>
      </c>
      <c r="B16" s="10" t="s">
        <v>59</v>
      </c>
      <c r="C16" s="46">
        <v>270000</v>
      </c>
      <c r="D16" s="46">
        <v>100500</v>
      </c>
      <c r="E16" s="46">
        <v>423175.5</v>
      </c>
      <c r="F16" s="46">
        <v>157461.5</v>
      </c>
      <c r="G16" s="46">
        <f t="shared" si="0"/>
        <v>156.73166666666668</v>
      </c>
      <c r="H16" s="46">
        <f t="shared" si="0"/>
        <v>156.67810945273632</v>
      </c>
    </row>
    <row r="17" spans="1:8" s="40" customFormat="1" ht="18.600000000000001" customHeight="1">
      <c r="A17" s="47" t="s">
        <v>36</v>
      </c>
      <c r="B17" s="48" t="s">
        <v>60</v>
      </c>
      <c r="C17" s="46"/>
      <c r="D17" s="46"/>
      <c r="E17" s="46"/>
      <c r="F17" s="46"/>
      <c r="G17" s="46"/>
      <c r="H17" s="46"/>
    </row>
    <row r="18" spans="1:8" s="40" customFormat="1" ht="18.600000000000001" customHeight="1">
      <c r="A18" s="47" t="s">
        <v>36</v>
      </c>
      <c r="B18" s="48" t="s">
        <v>61</v>
      </c>
      <c r="C18" s="46"/>
      <c r="D18" s="46"/>
      <c r="E18" s="46"/>
      <c r="F18" s="46"/>
      <c r="G18" s="46"/>
      <c r="H18" s="46"/>
    </row>
    <row r="19" spans="1:8" s="40" customFormat="1" ht="18.600000000000001" customHeight="1">
      <c r="A19" s="9">
        <f>A16+1</f>
        <v>7</v>
      </c>
      <c r="B19" s="10" t="s">
        <v>62</v>
      </c>
      <c r="C19" s="46">
        <v>150000</v>
      </c>
      <c r="D19" s="46">
        <v>150000</v>
      </c>
      <c r="E19" s="46">
        <v>226359</v>
      </c>
      <c r="F19" s="46">
        <v>226359</v>
      </c>
      <c r="G19" s="46">
        <f t="shared" si="0"/>
        <v>150.90600000000001</v>
      </c>
      <c r="H19" s="46">
        <f t="shared" si="0"/>
        <v>150.90600000000001</v>
      </c>
    </row>
    <row r="20" spans="1:8" s="40" customFormat="1" ht="18.600000000000001" customHeight="1">
      <c r="A20" s="9">
        <f>A19+1</f>
        <v>8</v>
      </c>
      <c r="B20" s="10" t="s">
        <v>63</v>
      </c>
      <c r="C20" s="46">
        <v>78400</v>
      </c>
      <c r="D20" s="46">
        <v>60000</v>
      </c>
      <c r="E20" s="46">
        <v>66188</v>
      </c>
      <c r="F20" s="46">
        <v>52751</v>
      </c>
      <c r="G20" s="46">
        <f t="shared" si="0"/>
        <v>84.423469387755105</v>
      </c>
      <c r="H20" s="46">
        <f t="shared" si="0"/>
        <v>87.918333333333337</v>
      </c>
    </row>
    <row r="21" spans="1:8" s="40" customFormat="1" ht="18.600000000000001" customHeight="1">
      <c r="A21" s="11" t="s">
        <v>36</v>
      </c>
      <c r="B21" s="49" t="s">
        <v>64</v>
      </c>
      <c r="C21" s="46"/>
      <c r="D21" s="46"/>
      <c r="E21" s="46"/>
      <c r="F21" s="46"/>
      <c r="G21" s="46"/>
      <c r="H21" s="46"/>
    </row>
    <row r="22" spans="1:8" s="40" customFormat="1" ht="18.600000000000001" customHeight="1">
      <c r="A22" s="11" t="s">
        <v>36</v>
      </c>
      <c r="B22" s="49" t="s">
        <v>65</v>
      </c>
      <c r="C22" s="46"/>
      <c r="D22" s="46"/>
      <c r="E22" s="46"/>
      <c r="F22" s="46"/>
      <c r="G22" s="46"/>
      <c r="H22" s="46"/>
    </row>
    <row r="23" spans="1:8" s="40" customFormat="1" ht="18.600000000000001" customHeight="1">
      <c r="A23" s="11" t="s">
        <v>36</v>
      </c>
      <c r="B23" s="49" t="s">
        <v>66</v>
      </c>
      <c r="C23" s="46"/>
      <c r="D23" s="46"/>
      <c r="E23" s="46"/>
      <c r="F23" s="46"/>
      <c r="G23" s="46"/>
      <c r="H23" s="46"/>
    </row>
    <row r="24" spans="1:8" s="40" customFormat="1" ht="18.600000000000001" customHeight="1">
      <c r="A24" s="11" t="s">
        <v>36</v>
      </c>
      <c r="B24" s="49" t="s">
        <v>67</v>
      </c>
      <c r="C24" s="46"/>
      <c r="D24" s="46"/>
      <c r="E24" s="46"/>
      <c r="F24" s="46"/>
      <c r="G24" s="46"/>
      <c r="H24" s="46"/>
    </row>
    <row r="25" spans="1:8" s="40" customFormat="1" ht="18.600000000000001" customHeight="1">
      <c r="A25" s="9">
        <f>A20+1</f>
        <v>9</v>
      </c>
      <c r="B25" s="10" t="s">
        <v>68</v>
      </c>
      <c r="C25" s="46"/>
      <c r="D25" s="46"/>
      <c r="E25" s="46"/>
      <c r="F25" s="46"/>
      <c r="G25" s="46"/>
      <c r="H25" s="46"/>
    </row>
    <row r="26" spans="1:8" s="40" customFormat="1" ht="18.600000000000001" customHeight="1">
      <c r="A26" s="9">
        <f>A25+1</f>
        <v>10</v>
      </c>
      <c r="B26" s="10" t="s">
        <v>69</v>
      </c>
      <c r="C26" s="46">
        <v>5000</v>
      </c>
      <c r="D26" s="46">
        <v>5000</v>
      </c>
      <c r="E26" s="46">
        <v>7085.5</v>
      </c>
      <c r="F26" s="46">
        <v>7085.5</v>
      </c>
      <c r="G26" s="46">
        <f t="shared" si="0"/>
        <v>141.71</v>
      </c>
      <c r="H26" s="46">
        <f t="shared" si="0"/>
        <v>141.71</v>
      </c>
    </row>
    <row r="27" spans="1:8" s="40" customFormat="1" ht="18.600000000000001" customHeight="1">
      <c r="A27" s="9">
        <f>A26+1</f>
        <v>11</v>
      </c>
      <c r="B27" s="10" t="s">
        <v>70</v>
      </c>
      <c r="C27" s="46">
        <v>80000</v>
      </c>
      <c r="D27" s="46">
        <v>80000</v>
      </c>
      <c r="E27" s="46">
        <v>159376</v>
      </c>
      <c r="F27" s="46">
        <v>159376</v>
      </c>
      <c r="G27" s="46">
        <f t="shared" si="0"/>
        <v>199.22</v>
      </c>
      <c r="H27" s="46">
        <f t="shared" si="0"/>
        <v>199.22</v>
      </c>
    </row>
    <row r="28" spans="1:8" s="40" customFormat="1" ht="18.600000000000001" customHeight="1">
      <c r="A28" s="9">
        <f>A27+1</f>
        <v>12</v>
      </c>
      <c r="B28" s="10" t="s">
        <v>71</v>
      </c>
      <c r="C28" s="46">
        <v>1700000</v>
      </c>
      <c r="D28" s="46">
        <v>1700000</v>
      </c>
      <c r="E28" s="46">
        <v>1913300</v>
      </c>
      <c r="F28" s="46">
        <v>1913300</v>
      </c>
      <c r="G28" s="46">
        <f t="shared" si="0"/>
        <v>112.54705882352943</v>
      </c>
      <c r="H28" s="46">
        <f t="shared" si="0"/>
        <v>112.54705882352943</v>
      </c>
    </row>
    <row r="29" spans="1:8" s="40" customFormat="1" ht="18.600000000000001" customHeight="1">
      <c r="A29" s="9">
        <f>A28+1</f>
        <v>13</v>
      </c>
      <c r="B29" s="10" t="s">
        <v>72</v>
      </c>
      <c r="C29" s="46">
        <v>1000</v>
      </c>
      <c r="D29" s="46">
        <v>1000</v>
      </c>
      <c r="E29" s="46">
        <v>654</v>
      </c>
      <c r="F29" s="46">
        <v>654</v>
      </c>
      <c r="G29" s="46">
        <f t="shared" si="0"/>
        <v>65.400000000000006</v>
      </c>
      <c r="H29" s="46">
        <f t="shared" si="0"/>
        <v>65.400000000000006</v>
      </c>
    </row>
    <row r="30" spans="1:8" s="40" customFormat="1" ht="18.600000000000001" customHeight="1">
      <c r="A30" s="9">
        <v>14</v>
      </c>
      <c r="B30" s="10" t="s">
        <v>73</v>
      </c>
      <c r="C30" s="46">
        <v>12000</v>
      </c>
      <c r="D30" s="46">
        <v>12000</v>
      </c>
      <c r="E30" s="46">
        <v>17775</v>
      </c>
      <c r="F30" s="46">
        <v>17775</v>
      </c>
      <c r="G30" s="46">
        <f t="shared" si="0"/>
        <v>148.125</v>
      </c>
      <c r="H30" s="46">
        <f t="shared" si="0"/>
        <v>148.125</v>
      </c>
    </row>
    <row r="31" spans="1:8" s="40" customFormat="1" ht="18.600000000000001" customHeight="1">
      <c r="A31" s="9">
        <v>15</v>
      </c>
      <c r="B31" s="10" t="s">
        <v>74</v>
      </c>
      <c r="C31" s="46">
        <v>75000</v>
      </c>
      <c r="D31" s="46">
        <v>74300</v>
      </c>
      <c r="E31" s="46">
        <v>169318</v>
      </c>
      <c r="F31" s="46">
        <v>97120</v>
      </c>
      <c r="G31" s="46">
        <f t="shared" si="0"/>
        <v>225.75733333333332</v>
      </c>
      <c r="H31" s="46">
        <f t="shared" si="0"/>
        <v>130.71332436069986</v>
      </c>
    </row>
    <row r="32" spans="1:8" s="40" customFormat="1" ht="19.149999999999999" customHeight="1">
      <c r="A32" s="9">
        <f>+A31+1</f>
        <v>16</v>
      </c>
      <c r="B32" s="10" t="s">
        <v>75</v>
      </c>
      <c r="C32" s="46">
        <v>261000</v>
      </c>
      <c r="D32" s="46">
        <v>230000</v>
      </c>
      <c r="E32" s="46">
        <v>205069</v>
      </c>
      <c r="F32" s="46">
        <v>165952</v>
      </c>
      <c r="G32" s="46">
        <f t="shared" si="0"/>
        <v>78.570498084291188</v>
      </c>
      <c r="H32" s="46">
        <f t="shared" si="0"/>
        <v>72.153043478260869</v>
      </c>
    </row>
    <row r="33" spans="1:8" s="40" customFormat="1" ht="19.149999999999999" customHeight="1">
      <c r="A33" s="9">
        <f>A32+1</f>
        <v>17</v>
      </c>
      <c r="B33" s="10" t="s">
        <v>76</v>
      </c>
      <c r="C33" s="46">
        <v>1000</v>
      </c>
      <c r="D33" s="46">
        <v>1000</v>
      </c>
      <c r="E33" s="46">
        <v>4893</v>
      </c>
      <c r="F33" s="46">
        <v>4893</v>
      </c>
      <c r="G33" s="46">
        <f t="shared" si="0"/>
        <v>489.29999999999995</v>
      </c>
      <c r="H33" s="46">
        <f t="shared" si="0"/>
        <v>489.29999999999995</v>
      </c>
    </row>
    <row r="34" spans="1:8" s="40" customFormat="1" ht="48">
      <c r="A34" s="50">
        <v>18</v>
      </c>
      <c r="B34" s="51" t="s">
        <v>77</v>
      </c>
      <c r="C34" s="152">
        <v>1000</v>
      </c>
      <c r="D34" s="152">
        <v>1000</v>
      </c>
      <c r="E34" s="152">
        <v>240</v>
      </c>
      <c r="F34" s="152">
        <v>240</v>
      </c>
      <c r="G34" s="153">
        <f t="shared" si="0"/>
        <v>24</v>
      </c>
      <c r="H34" s="153">
        <f t="shared" si="0"/>
        <v>24</v>
      </c>
    </row>
    <row r="35" spans="1:8" s="40" customFormat="1" ht="19.149999999999999" customHeight="1">
      <c r="A35" s="8" t="s">
        <v>9</v>
      </c>
      <c r="B35" s="45" t="s">
        <v>78</v>
      </c>
      <c r="C35" s="137"/>
      <c r="D35" s="137"/>
      <c r="E35" s="137"/>
      <c r="F35" s="137"/>
      <c r="G35" s="137"/>
      <c r="H35" s="137"/>
    </row>
    <row r="36" spans="1:8" s="40" customFormat="1" ht="19.149999999999999" customHeight="1">
      <c r="A36" s="8" t="s">
        <v>12</v>
      </c>
      <c r="B36" s="45" t="s">
        <v>79</v>
      </c>
      <c r="C36" s="137">
        <v>250000</v>
      </c>
      <c r="D36" s="137">
        <v>0</v>
      </c>
      <c r="E36" s="137">
        <v>409983</v>
      </c>
      <c r="F36" s="137">
        <v>0</v>
      </c>
      <c r="G36" s="137">
        <f t="shared" si="0"/>
        <v>163.9932</v>
      </c>
      <c r="H36" s="137"/>
    </row>
    <row r="37" spans="1:8" s="40" customFormat="1" ht="19.149999999999999" customHeight="1">
      <c r="A37" s="9">
        <v>1</v>
      </c>
      <c r="B37" s="10" t="s">
        <v>80</v>
      </c>
      <c r="C37" s="46"/>
      <c r="D37" s="46"/>
      <c r="E37" s="46"/>
      <c r="F37" s="46"/>
      <c r="G37" s="46"/>
      <c r="H37" s="46"/>
    </row>
    <row r="38" spans="1:8" s="40" customFormat="1" ht="19.149999999999999" customHeight="1">
      <c r="A38" s="9">
        <f>A37+1</f>
        <v>2</v>
      </c>
      <c r="B38" s="10" t="s">
        <v>81</v>
      </c>
      <c r="C38" s="46"/>
      <c r="D38" s="46"/>
      <c r="E38" s="46"/>
      <c r="F38" s="46"/>
      <c r="G38" s="46"/>
      <c r="H38" s="46"/>
    </row>
    <row r="39" spans="1:8" s="40" customFormat="1" ht="19.149999999999999" customHeight="1">
      <c r="A39" s="9">
        <f>A38+1</f>
        <v>3</v>
      </c>
      <c r="B39" s="10" t="s">
        <v>82</v>
      </c>
      <c r="C39" s="46"/>
      <c r="D39" s="46"/>
      <c r="E39" s="46"/>
      <c r="F39" s="46"/>
      <c r="G39" s="46"/>
      <c r="H39" s="46"/>
    </row>
    <row r="40" spans="1:8" s="40" customFormat="1" ht="19.149999999999999" customHeight="1">
      <c r="A40" s="9">
        <f>A39+1</f>
        <v>4</v>
      </c>
      <c r="B40" s="10" t="s">
        <v>83</v>
      </c>
      <c r="C40" s="46"/>
      <c r="D40" s="46"/>
      <c r="E40" s="46"/>
      <c r="F40" s="46"/>
      <c r="G40" s="46"/>
      <c r="H40" s="46"/>
    </row>
    <row r="41" spans="1:8" s="40" customFormat="1" ht="19.149999999999999" customHeight="1">
      <c r="A41" s="9">
        <f>A40+1</f>
        <v>5</v>
      </c>
      <c r="B41" s="10" t="s">
        <v>84</v>
      </c>
      <c r="C41" s="46"/>
      <c r="D41" s="46"/>
      <c r="E41" s="46"/>
      <c r="F41" s="46"/>
      <c r="G41" s="46"/>
      <c r="H41" s="46"/>
    </row>
    <row r="42" spans="1:8" s="40" customFormat="1" ht="19.149999999999999" customHeight="1">
      <c r="A42" s="9">
        <v>6</v>
      </c>
      <c r="B42" s="10" t="s">
        <v>85</v>
      </c>
      <c r="C42" s="46"/>
      <c r="D42" s="46"/>
      <c r="E42" s="46"/>
      <c r="F42" s="46"/>
      <c r="G42" s="46"/>
      <c r="H42" s="46"/>
    </row>
    <row r="43" spans="1:8" s="40" customFormat="1" ht="19.149999999999999" customHeight="1">
      <c r="A43" s="8" t="s">
        <v>86</v>
      </c>
      <c r="B43" s="45" t="s">
        <v>87</v>
      </c>
      <c r="C43" s="137"/>
      <c r="D43" s="137"/>
      <c r="E43" s="137"/>
      <c r="F43" s="137"/>
      <c r="G43" s="137"/>
      <c r="H43" s="137"/>
    </row>
    <row r="44" spans="1:8" s="40" customFormat="1" ht="19.149999999999999" customHeight="1">
      <c r="A44" s="25" t="s">
        <v>4</v>
      </c>
      <c r="B44" s="52" t="s">
        <v>88</v>
      </c>
      <c r="C44" s="137"/>
      <c r="D44" s="137"/>
      <c r="E44" s="137"/>
      <c r="F44" s="137"/>
      <c r="G44" s="137"/>
      <c r="H44" s="137"/>
    </row>
    <row r="45" spans="1:8" s="40" customFormat="1" ht="19.149999999999999" customHeight="1">
      <c r="A45" s="25" t="s">
        <v>27</v>
      </c>
      <c r="B45" s="52" t="s">
        <v>89</v>
      </c>
      <c r="C45" s="137"/>
      <c r="D45" s="137"/>
      <c r="E45" s="137">
        <v>95800</v>
      </c>
      <c r="F45" s="137">
        <v>95800</v>
      </c>
      <c r="G45" s="137"/>
      <c r="H45" s="137"/>
    </row>
    <row r="46" spans="1:8" s="40" customFormat="1" ht="31.5">
      <c r="A46" s="53" t="s">
        <v>28</v>
      </c>
      <c r="B46" s="54" t="s">
        <v>90</v>
      </c>
      <c r="C46" s="138"/>
      <c r="D46" s="138"/>
      <c r="E46" s="138">
        <v>1573001</v>
      </c>
      <c r="F46" s="138">
        <v>1573001</v>
      </c>
      <c r="G46" s="138"/>
      <c r="H46" s="138"/>
    </row>
    <row r="47" spans="1:8" ht="19.5" customHeight="1">
      <c r="A47" s="282"/>
      <c r="B47" s="282"/>
      <c r="C47" s="282"/>
      <c r="D47" s="282"/>
      <c r="E47" s="282"/>
      <c r="F47" s="282"/>
      <c r="G47" s="282"/>
      <c r="H47" s="282"/>
    </row>
    <row r="48" spans="1:8" ht="19.5" customHeight="1">
      <c r="A48" s="6"/>
      <c r="B48" s="55"/>
      <c r="C48" s="6"/>
      <c r="D48" s="6"/>
      <c r="E48" s="6"/>
      <c r="F48" s="6"/>
      <c r="G48" s="6"/>
      <c r="H48" s="6"/>
    </row>
    <row r="49" spans="1:8" ht="18.75">
      <c r="A49" s="6"/>
      <c r="B49" s="55"/>
      <c r="C49" s="6"/>
      <c r="D49" s="6"/>
      <c r="E49" s="6"/>
      <c r="F49" s="6"/>
      <c r="G49" s="6"/>
      <c r="H49" s="6"/>
    </row>
    <row r="50" spans="1:8" ht="18.75">
      <c r="A50" s="6"/>
      <c r="B50" s="6"/>
      <c r="C50" s="6"/>
      <c r="D50" s="6"/>
      <c r="E50" s="6"/>
      <c r="F50" s="6"/>
    </row>
    <row r="51" spans="1:8" ht="18.75">
      <c r="A51" s="6"/>
      <c r="B51" s="56"/>
      <c r="C51" s="6"/>
      <c r="D51" s="6"/>
      <c r="E51" s="6"/>
      <c r="F51" s="6"/>
      <c r="G51" s="6"/>
      <c r="H51" s="6"/>
    </row>
    <row r="52" spans="1:8" ht="18.75">
      <c r="A52" s="15"/>
      <c r="B52" s="55"/>
      <c r="C52" s="6"/>
      <c r="D52" s="6"/>
      <c r="E52" s="6"/>
      <c r="F52" s="6"/>
      <c r="G52" s="6"/>
      <c r="H52" s="6"/>
    </row>
    <row r="53" spans="1:8" ht="18.75">
      <c r="A53" s="40"/>
      <c r="B53" s="55"/>
      <c r="C53" s="6"/>
      <c r="D53" s="6"/>
      <c r="E53" s="6"/>
      <c r="F53" s="6"/>
      <c r="G53" s="6"/>
      <c r="H53" s="6"/>
    </row>
    <row r="54" spans="1:8" ht="18.75">
      <c r="A54" s="40"/>
      <c r="B54" s="55"/>
      <c r="C54" s="6"/>
      <c r="D54" s="6"/>
      <c r="E54" s="6"/>
      <c r="F54" s="6"/>
      <c r="G54" s="6"/>
      <c r="H54" s="6"/>
    </row>
    <row r="55" spans="1:8" ht="18.75">
      <c r="A55" s="40"/>
      <c r="B55" s="40"/>
      <c r="C55" s="40"/>
      <c r="D55" s="40"/>
      <c r="E55" s="40"/>
      <c r="F55" s="40"/>
      <c r="G55" s="40"/>
      <c r="H55" s="40"/>
    </row>
    <row r="56" spans="1:8" ht="18.75">
      <c r="A56" s="40"/>
      <c r="B56" s="40"/>
      <c r="C56" s="40"/>
      <c r="D56" s="40"/>
      <c r="E56" s="40"/>
      <c r="F56" s="40"/>
      <c r="G56" s="40"/>
      <c r="H56" s="40"/>
    </row>
    <row r="57" spans="1:8" ht="18.75">
      <c r="A57" s="40"/>
      <c r="B57" s="40"/>
      <c r="C57" s="40"/>
      <c r="D57" s="40"/>
      <c r="E57" s="40"/>
      <c r="F57" s="40"/>
      <c r="G57" s="40"/>
      <c r="H57" s="40"/>
    </row>
    <row r="58" spans="1:8" ht="22.5" customHeight="1">
      <c r="A58" s="40"/>
      <c r="B58" s="40"/>
      <c r="C58" s="40"/>
      <c r="D58" s="40"/>
      <c r="E58" s="40"/>
      <c r="F58" s="40"/>
      <c r="G58" s="40"/>
      <c r="H58" s="40"/>
    </row>
    <row r="59" spans="1:8" ht="18.75">
      <c r="A59" s="40"/>
      <c r="B59" s="40"/>
      <c r="C59" s="40"/>
      <c r="D59" s="40"/>
      <c r="E59" s="40"/>
      <c r="F59" s="40"/>
      <c r="G59" s="40"/>
      <c r="H59" s="40"/>
    </row>
    <row r="60" spans="1:8" ht="18.75">
      <c r="A60" s="40"/>
      <c r="B60" s="40"/>
      <c r="C60" s="40"/>
      <c r="D60" s="40"/>
      <c r="E60" s="40"/>
      <c r="F60" s="40"/>
      <c r="G60" s="40"/>
      <c r="H60" s="40"/>
    </row>
    <row r="61" spans="1:8" ht="18.75">
      <c r="A61" s="40"/>
      <c r="B61" s="40"/>
      <c r="C61" s="40"/>
      <c r="D61" s="40"/>
      <c r="E61" s="40"/>
      <c r="F61" s="40"/>
      <c r="G61" s="40"/>
      <c r="H61" s="40"/>
    </row>
    <row r="62" spans="1:8" ht="18.75">
      <c r="A62" s="40"/>
      <c r="B62" s="40"/>
      <c r="C62" s="40"/>
      <c r="D62" s="40"/>
      <c r="E62" s="40"/>
      <c r="F62" s="40"/>
      <c r="G62" s="40"/>
      <c r="H62" s="40"/>
    </row>
  </sheetData>
  <mergeCells count="14">
    <mergeCell ref="G1:H1"/>
    <mergeCell ref="F6:F7"/>
    <mergeCell ref="G6:G7"/>
    <mergeCell ref="H6:H7"/>
    <mergeCell ref="A47:H47"/>
    <mergeCell ref="A3:H3"/>
    <mergeCell ref="A5:A7"/>
    <mergeCell ref="B5:B7"/>
    <mergeCell ref="C5:D5"/>
    <mergeCell ref="E5:F5"/>
    <mergeCell ref="G5:H5"/>
    <mergeCell ref="C6:C7"/>
    <mergeCell ref="D6:D7"/>
    <mergeCell ref="E6:E7"/>
  </mergeCells>
  <pageMargins left="0.27559055118110237" right="0.19685039370078741" top="0.37" bottom="0.4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workbookViewId="0">
      <selection activeCell="A4" sqref="A4"/>
    </sheetView>
  </sheetViews>
  <sheetFormatPr defaultColWidth="12.85546875" defaultRowHeight="26.25" customHeight="1"/>
  <cols>
    <col min="1" max="1" width="6.85546875" style="4" customWidth="1"/>
    <col min="2" max="2" width="51.28515625" style="4" customWidth="1"/>
    <col min="3" max="3" width="12.42578125" style="4" customWidth="1"/>
    <col min="4" max="11" width="13.7109375" style="4" customWidth="1"/>
    <col min="12" max="16384" width="12.85546875" style="4"/>
  </cols>
  <sheetData>
    <row r="1" spans="1:13" ht="21" customHeight="1">
      <c r="A1" s="57" t="s">
        <v>185</v>
      </c>
      <c r="B1" s="2"/>
      <c r="C1" s="2"/>
      <c r="D1" s="2"/>
      <c r="E1" s="2"/>
      <c r="F1" s="2"/>
      <c r="G1" s="2"/>
      <c r="H1" s="2"/>
      <c r="I1" s="2"/>
      <c r="J1" s="2"/>
      <c r="K1" s="143" t="s">
        <v>91</v>
      </c>
      <c r="L1" s="1"/>
    </row>
    <row r="2" spans="1:13" ht="32.25">
      <c r="A2" s="154" t="s">
        <v>188</v>
      </c>
      <c r="B2" s="155"/>
      <c r="C2" s="155"/>
      <c r="D2" s="155"/>
      <c r="E2" s="155"/>
      <c r="F2" s="155"/>
      <c r="G2" s="155"/>
      <c r="H2" s="155"/>
      <c r="I2" s="155"/>
      <c r="J2" s="155"/>
      <c r="K2" s="22"/>
    </row>
    <row r="3" spans="1:13" ht="21" customHeight="1">
      <c r="A3" s="286" t="str">
        <f>'63'!A3:H3</f>
        <v>(Quyết toán đã được Hội đồng nhân dân phê duyệt)</v>
      </c>
      <c r="B3" s="286"/>
      <c r="C3" s="286"/>
      <c r="D3" s="286"/>
      <c r="E3" s="286"/>
      <c r="F3" s="286"/>
      <c r="G3" s="286"/>
      <c r="H3" s="286"/>
      <c r="I3" s="286"/>
      <c r="J3" s="286"/>
      <c r="K3" s="286"/>
      <c r="L3" s="58"/>
      <c r="M3" s="58"/>
    </row>
    <row r="4" spans="1:13" ht="19.5" customHeight="1">
      <c r="A4" s="146"/>
      <c r="B4" s="146"/>
      <c r="C4" s="146"/>
      <c r="D4" s="146"/>
      <c r="E4" s="146"/>
      <c r="F4" s="146"/>
      <c r="G4" s="146"/>
      <c r="H4" s="146"/>
      <c r="I4" s="146"/>
      <c r="J4" s="146"/>
      <c r="K4" s="144" t="s">
        <v>0</v>
      </c>
    </row>
    <row r="5" spans="1:13" s="59" customFormat="1" ht="21.6" customHeight="1">
      <c r="A5" s="287" t="s">
        <v>1</v>
      </c>
      <c r="B5" s="287" t="s">
        <v>2</v>
      </c>
      <c r="C5" s="290" t="s">
        <v>38</v>
      </c>
      <c r="D5" s="293" t="s">
        <v>92</v>
      </c>
      <c r="E5" s="294"/>
      <c r="F5" s="290" t="s">
        <v>41</v>
      </c>
      <c r="G5" s="293" t="s">
        <v>92</v>
      </c>
      <c r="H5" s="294"/>
      <c r="I5" s="293" t="s">
        <v>48</v>
      </c>
      <c r="J5" s="295"/>
      <c r="K5" s="294"/>
    </row>
    <row r="6" spans="1:13" s="59" customFormat="1" ht="16.5">
      <c r="A6" s="288"/>
      <c r="B6" s="288"/>
      <c r="C6" s="291"/>
      <c r="D6" s="291" t="s">
        <v>93</v>
      </c>
      <c r="E6" s="291" t="s">
        <v>94</v>
      </c>
      <c r="F6" s="291"/>
      <c r="G6" s="291" t="s">
        <v>93</v>
      </c>
      <c r="H6" s="291" t="s">
        <v>94</v>
      </c>
      <c r="I6" s="290" t="s">
        <v>95</v>
      </c>
      <c r="J6" s="291" t="s">
        <v>93</v>
      </c>
      <c r="K6" s="291" t="s">
        <v>94</v>
      </c>
    </row>
    <row r="7" spans="1:13" s="59" customFormat="1" ht="27" customHeight="1">
      <c r="A7" s="289"/>
      <c r="B7" s="289"/>
      <c r="C7" s="292"/>
      <c r="D7" s="292"/>
      <c r="E7" s="292"/>
      <c r="F7" s="292"/>
      <c r="G7" s="292"/>
      <c r="H7" s="292"/>
      <c r="I7" s="292"/>
      <c r="J7" s="292"/>
      <c r="K7" s="292"/>
    </row>
    <row r="8" spans="1:13" s="6" customFormat="1" ht="22.15" customHeight="1">
      <c r="A8" s="7"/>
      <c r="B8" s="60" t="s">
        <v>16</v>
      </c>
      <c r="C8" s="61">
        <v>12518853</v>
      </c>
      <c r="D8" s="61">
        <v>6195423</v>
      </c>
      <c r="E8" s="61">
        <v>6323430</v>
      </c>
      <c r="F8" s="61">
        <v>14175687.258720001</v>
      </c>
      <c r="G8" s="61">
        <v>6517574.1627200004</v>
      </c>
      <c r="H8" s="61">
        <v>7658113.0959999999</v>
      </c>
      <c r="I8" s="134">
        <f>F8/C8*100</f>
        <v>113.23471294630588</v>
      </c>
      <c r="J8" s="134">
        <f>G8/D8*100</f>
        <v>105.1998251405917</v>
      </c>
      <c r="K8" s="134">
        <f>H8/E8*100</f>
        <v>121.1069482227209</v>
      </c>
    </row>
    <row r="9" spans="1:13" s="6" customFormat="1" ht="22.15" customHeight="1">
      <c r="A9" s="8" t="s">
        <v>3</v>
      </c>
      <c r="B9" s="19" t="s">
        <v>96</v>
      </c>
      <c r="C9" s="62">
        <v>10831669</v>
      </c>
      <c r="D9" s="62">
        <v>4508239</v>
      </c>
      <c r="E9" s="62">
        <v>6323430</v>
      </c>
      <c r="F9" s="62">
        <v>10779719</v>
      </c>
      <c r="G9" s="62">
        <v>3845454</v>
      </c>
      <c r="H9" s="62">
        <v>6934265</v>
      </c>
      <c r="I9" s="135">
        <f t="shared" ref="I9:K30" si="0">F9/C9*100</f>
        <v>99.520387855278813</v>
      </c>
      <c r="J9" s="135">
        <f t="shared" si="0"/>
        <v>85.298361511002412</v>
      </c>
      <c r="K9" s="135">
        <f t="shared" si="0"/>
        <v>109.65986814118287</v>
      </c>
    </row>
    <row r="10" spans="1:13" s="15" customFormat="1" ht="22.15" customHeight="1">
      <c r="A10" s="8" t="s">
        <v>6</v>
      </c>
      <c r="B10" s="19" t="s">
        <v>97</v>
      </c>
      <c r="C10" s="62">
        <v>2539450</v>
      </c>
      <c r="D10" s="62">
        <v>1979450</v>
      </c>
      <c r="E10" s="62">
        <v>560000</v>
      </c>
      <c r="F10" s="62">
        <v>2379732.5</v>
      </c>
      <c r="G10" s="62">
        <v>1335351</v>
      </c>
      <c r="H10" s="62">
        <v>1044381.5</v>
      </c>
      <c r="I10" s="135">
        <f t="shared" si="0"/>
        <v>93.710547559510914</v>
      </c>
      <c r="J10" s="135">
        <f t="shared" si="0"/>
        <v>67.460708782742685</v>
      </c>
      <c r="K10" s="135">
        <f t="shared" si="0"/>
        <v>186.49669642857143</v>
      </c>
    </row>
    <row r="11" spans="1:13" s="15" customFormat="1" ht="22.15" customHeight="1">
      <c r="A11" s="9">
        <v>1</v>
      </c>
      <c r="B11" s="10" t="s">
        <v>98</v>
      </c>
      <c r="C11" s="62"/>
      <c r="D11" s="121"/>
      <c r="E11" s="121"/>
      <c r="F11" s="121"/>
      <c r="G11" s="121"/>
      <c r="H11" s="121"/>
      <c r="I11" s="126"/>
      <c r="J11" s="126"/>
      <c r="K11" s="125"/>
    </row>
    <row r="12" spans="1:13" s="15" customFormat="1" ht="22.15" customHeight="1">
      <c r="A12" s="63"/>
      <c r="B12" s="10" t="s">
        <v>99</v>
      </c>
      <c r="C12" s="62"/>
      <c r="D12" s="121"/>
      <c r="E12" s="121"/>
      <c r="F12" s="121"/>
      <c r="G12" s="121"/>
      <c r="H12" s="121"/>
      <c r="I12" s="126"/>
      <c r="J12" s="126"/>
      <c r="K12" s="125"/>
    </row>
    <row r="13" spans="1:13" s="15" customFormat="1" ht="22.15" customHeight="1">
      <c r="A13" s="47" t="s">
        <v>36</v>
      </c>
      <c r="B13" s="49" t="s">
        <v>100</v>
      </c>
      <c r="C13" s="62"/>
      <c r="D13" s="65">
        <v>64896</v>
      </c>
      <c r="E13" s="65"/>
      <c r="F13" s="65">
        <v>140420</v>
      </c>
      <c r="G13" s="65">
        <v>40419</v>
      </c>
      <c r="H13" s="65">
        <v>100001</v>
      </c>
      <c r="I13" s="126"/>
      <c r="J13" s="126">
        <f t="shared" si="0"/>
        <v>62.282729289940832</v>
      </c>
      <c r="K13" s="125"/>
    </row>
    <row r="14" spans="1:13" s="15" customFormat="1" ht="22.15" customHeight="1">
      <c r="A14" s="47" t="s">
        <v>36</v>
      </c>
      <c r="B14" s="49" t="s">
        <v>101</v>
      </c>
      <c r="C14" s="62"/>
      <c r="D14" s="65">
        <v>8000</v>
      </c>
      <c r="E14" s="65"/>
      <c r="F14" s="65">
        <v>7015</v>
      </c>
      <c r="G14" s="65">
        <v>7015</v>
      </c>
      <c r="H14" s="65"/>
      <c r="I14" s="126"/>
      <c r="J14" s="126">
        <f t="shared" si="0"/>
        <v>87.6875</v>
      </c>
      <c r="K14" s="125"/>
    </row>
    <row r="15" spans="1:13" s="15" customFormat="1" ht="22.15" customHeight="1">
      <c r="A15" s="9"/>
      <c r="B15" s="10" t="s">
        <v>102</v>
      </c>
      <c r="C15" s="62"/>
      <c r="D15" s="121"/>
      <c r="E15" s="121"/>
      <c r="F15" s="121"/>
      <c r="G15" s="121"/>
      <c r="H15" s="121"/>
      <c r="I15" s="126"/>
      <c r="J15" s="126"/>
      <c r="K15" s="125"/>
    </row>
    <row r="16" spans="1:13" s="15" customFormat="1" ht="22.15" customHeight="1">
      <c r="A16" s="47" t="s">
        <v>36</v>
      </c>
      <c r="B16" s="49" t="s">
        <v>103</v>
      </c>
      <c r="C16" s="62"/>
      <c r="D16" s="65"/>
      <c r="E16" s="65"/>
      <c r="F16" s="65"/>
      <c r="G16" s="65"/>
      <c r="H16" s="65"/>
      <c r="I16" s="126"/>
      <c r="J16" s="126"/>
      <c r="K16" s="125"/>
    </row>
    <row r="17" spans="1:11" s="15" customFormat="1" ht="22.15" customHeight="1">
      <c r="A17" s="47" t="s">
        <v>36</v>
      </c>
      <c r="B17" s="49" t="s">
        <v>104</v>
      </c>
      <c r="C17" s="62"/>
      <c r="D17" s="65"/>
      <c r="E17" s="65"/>
      <c r="F17" s="65"/>
      <c r="G17" s="65"/>
      <c r="H17" s="65"/>
      <c r="I17" s="126"/>
      <c r="J17" s="126"/>
      <c r="K17" s="125"/>
    </row>
    <row r="18" spans="1:11" s="15" customFormat="1" ht="67.900000000000006" customHeight="1">
      <c r="A18" s="50">
        <v>2</v>
      </c>
      <c r="B18" s="64" t="s">
        <v>105</v>
      </c>
      <c r="C18" s="62"/>
      <c r="D18" s="156"/>
      <c r="E18" s="156"/>
      <c r="F18" s="157">
        <v>120870</v>
      </c>
      <c r="G18" s="157">
        <v>120870</v>
      </c>
      <c r="H18" s="156"/>
      <c r="I18" s="126"/>
      <c r="J18" s="126"/>
      <c r="K18" s="125"/>
    </row>
    <row r="19" spans="1:11" s="15" customFormat="1" ht="22.15" customHeight="1">
      <c r="A19" s="9">
        <v>3</v>
      </c>
      <c r="B19" s="10" t="s">
        <v>106</v>
      </c>
      <c r="C19" s="62"/>
      <c r="D19" s="121"/>
      <c r="E19" s="121"/>
      <c r="F19" s="121"/>
      <c r="G19" s="121"/>
      <c r="H19" s="121"/>
      <c r="I19" s="126"/>
      <c r="J19" s="126"/>
      <c r="K19" s="125"/>
    </row>
    <row r="20" spans="1:11" s="6" customFormat="1" ht="22.15" customHeight="1">
      <c r="A20" s="8" t="s">
        <v>9</v>
      </c>
      <c r="B20" s="19" t="s">
        <v>18</v>
      </c>
      <c r="C20" s="62">
        <v>8078547</v>
      </c>
      <c r="D20" s="62">
        <v>2439827</v>
      </c>
      <c r="E20" s="62">
        <v>5638720</v>
      </c>
      <c r="F20" s="62">
        <v>8396381.5</v>
      </c>
      <c r="G20" s="62">
        <v>2506498</v>
      </c>
      <c r="H20" s="62">
        <v>5889883.5</v>
      </c>
      <c r="I20" s="135">
        <f t="shared" si="0"/>
        <v>103.93430278984574</v>
      </c>
      <c r="J20" s="135">
        <f t="shared" si="0"/>
        <v>102.73261177944173</v>
      </c>
      <c r="K20" s="135">
        <f t="shared" si="0"/>
        <v>104.45426444299414</v>
      </c>
    </row>
    <row r="21" spans="1:11" s="6" customFormat="1" ht="22.15" customHeight="1">
      <c r="A21" s="8"/>
      <c r="B21" s="26" t="s">
        <v>107</v>
      </c>
      <c r="C21" s="62"/>
      <c r="D21" s="65"/>
      <c r="E21" s="65"/>
      <c r="F21" s="65"/>
      <c r="G21" s="65"/>
      <c r="H21" s="65"/>
      <c r="I21" s="126"/>
      <c r="J21" s="126"/>
      <c r="K21" s="125"/>
    </row>
    <row r="22" spans="1:11" s="6" customFormat="1" ht="22.15" customHeight="1">
      <c r="A22" s="66">
        <v>1</v>
      </c>
      <c r="B22" s="67" t="s">
        <v>108</v>
      </c>
      <c r="C22" s="121">
        <v>3643184</v>
      </c>
      <c r="D22" s="158">
        <v>629030</v>
      </c>
      <c r="E22" s="158">
        <v>3014154</v>
      </c>
      <c r="F22" s="158">
        <v>3681416</v>
      </c>
      <c r="G22" s="158">
        <v>610136</v>
      </c>
      <c r="H22" s="158">
        <v>3071280</v>
      </c>
      <c r="I22" s="126">
        <f t="shared" si="0"/>
        <v>101.04941172337165</v>
      </c>
      <c r="J22" s="126">
        <f t="shared" si="0"/>
        <v>96.996327679125002</v>
      </c>
      <c r="K22" s="125">
        <f t="shared" si="0"/>
        <v>101.89525817194476</v>
      </c>
    </row>
    <row r="23" spans="1:11" s="6" customFormat="1" ht="22.15" customHeight="1">
      <c r="A23" s="66">
        <v>2</v>
      </c>
      <c r="B23" s="67" t="s">
        <v>109</v>
      </c>
      <c r="C23" s="121">
        <v>19269</v>
      </c>
      <c r="D23" s="158">
        <v>14859</v>
      </c>
      <c r="E23" s="158">
        <v>4410</v>
      </c>
      <c r="F23" s="158">
        <v>16181</v>
      </c>
      <c r="G23" s="158">
        <v>11107</v>
      </c>
      <c r="H23" s="158">
        <v>5074</v>
      </c>
      <c r="I23" s="126">
        <f t="shared" si="0"/>
        <v>83.974259172764548</v>
      </c>
      <c r="J23" s="126">
        <f t="shared" si="0"/>
        <v>74.749310182381052</v>
      </c>
      <c r="K23" s="125">
        <f t="shared" si="0"/>
        <v>115.05668934240363</v>
      </c>
    </row>
    <row r="24" spans="1:11" s="6" customFormat="1" ht="34.5" customHeight="1">
      <c r="A24" s="68" t="s">
        <v>12</v>
      </c>
      <c r="B24" s="69" t="s">
        <v>19</v>
      </c>
      <c r="C24" s="62">
        <v>3700</v>
      </c>
      <c r="D24" s="62">
        <v>3700</v>
      </c>
      <c r="E24" s="62"/>
      <c r="F24" s="62">
        <v>2305</v>
      </c>
      <c r="G24" s="62">
        <v>2305</v>
      </c>
      <c r="H24" s="62"/>
      <c r="I24" s="135">
        <f t="shared" si="0"/>
        <v>62.297297297297291</v>
      </c>
      <c r="J24" s="135">
        <f t="shared" si="0"/>
        <v>62.297297297297291</v>
      </c>
      <c r="K24" s="135"/>
    </row>
    <row r="25" spans="1:11" s="6" customFormat="1" ht="22.15" customHeight="1">
      <c r="A25" s="8" t="s">
        <v>86</v>
      </c>
      <c r="B25" s="19" t="s">
        <v>20</v>
      </c>
      <c r="C25" s="62">
        <v>1300</v>
      </c>
      <c r="D25" s="62">
        <v>1300</v>
      </c>
      <c r="E25" s="62"/>
      <c r="F25" s="62">
        <v>1300</v>
      </c>
      <c r="G25" s="62">
        <v>1300</v>
      </c>
      <c r="H25" s="62"/>
      <c r="I25" s="135">
        <f t="shared" si="0"/>
        <v>100</v>
      </c>
      <c r="J25" s="135">
        <f t="shared" si="0"/>
        <v>100</v>
      </c>
      <c r="K25" s="135"/>
    </row>
    <row r="26" spans="1:11" s="6" customFormat="1" ht="22.15" customHeight="1">
      <c r="A26" s="8" t="s">
        <v>110</v>
      </c>
      <c r="B26" s="19" t="s">
        <v>21</v>
      </c>
      <c r="C26" s="62">
        <v>208672</v>
      </c>
      <c r="D26" s="62">
        <v>83962</v>
      </c>
      <c r="E26" s="62">
        <v>124710</v>
      </c>
      <c r="F26" s="62"/>
      <c r="G26" s="62"/>
      <c r="H26" s="62"/>
      <c r="I26" s="125"/>
      <c r="J26" s="125"/>
      <c r="K26" s="125"/>
    </row>
    <row r="27" spans="1:11" s="6" customFormat="1" ht="22.15" customHeight="1">
      <c r="A27" s="8" t="s">
        <v>111</v>
      </c>
      <c r="B27" s="70" t="s">
        <v>22</v>
      </c>
      <c r="C27" s="62"/>
      <c r="D27" s="159"/>
      <c r="E27" s="159"/>
      <c r="F27" s="159"/>
      <c r="G27" s="159"/>
      <c r="H27" s="159"/>
      <c r="I27" s="103"/>
      <c r="J27" s="103"/>
      <c r="K27" s="121"/>
    </row>
    <row r="28" spans="1:11" s="6" customFormat="1" ht="22.15" customHeight="1">
      <c r="A28" s="8" t="s">
        <v>4</v>
      </c>
      <c r="B28" s="71" t="s">
        <v>112</v>
      </c>
      <c r="C28" s="62">
        <v>1687184</v>
      </c>
      <c r="D28" s="160">
        <v>1687184</v>
      </c>
      <c r="E28" s="160">
        <v>0</v>
      </c>
      <c r="F28" s="160">
        <v>1618588.3587199999</v>
      </c>
      <c r="G28" s="160">
        <v>1600987.26272</v>
      </c>
      <c r="H28" s="160">
        <v>17601.096000000001</v>
      </c>
      <c r="I28" s="127">
        <f t="shared" si="0"/>
        <v>95.934311771567295</v>
      </c>
      <c r="J28" s="127">
        <f t="shared" si="0"/>
        <v>94.891088507240468</v>
      </c>
      <c r="K28" s="128"/>
    </row>
    <row r="29" spans="1:11" s="6" customFormat="1" ht="22.15" customHeight="1">
      <c r="A29" s="8" t="s">
        <v>6</v>
      </c>
      <c r="B29" s="19" t="s">
        <v>24</v>
      </c>
      <c r="C29" s="62">
        <v>14554</v>
      </c>
      <c r="D29" s="62">
        <v>4384</v>
      </c>
      <c r="E29" s="62">
        <v>10170</v>
      </c>
      <c r="F29" s="62">
        <v>32896.358720000004</v>
      </c>
      <c r="G29" s="62">
        <v>15295.262719999999</v>
      </c>
      <c r="H29" s="62">
        <v>17601.096000000001</v>
      </c>
      <c r="I29" s="128">
        <f t="shared" si="0"/>
        <v>226.02967376666209</v>
      </c>
      <c r="J29" s="128">
        <f t="shared" si="0"/>
        <v>348.88829197080292</v>
      </c>
      <c r="K29" s="128">
        <f t="shared" si="0"/>
        <v>173.068790560472</v>
      </c>
    </row>
    <row r="30" spans="1:11" s="6" customFormat="1" ht="22.15" customHeight="1">
      <c r="A30" s="8" t="s">
        <v>9</v>
      </c>
      <c r="B30" s="19" t="s">
        <v>25</v>
      </c>
      <c r="C30" s="62">
        <v>1687184</v>
      </c>
      <c r="D30" s="62">
        <v>1687184</v>
      </c>
      <c r="E30" s="62">
        <v>0</v>
      </c>
      <c r="F30" s="62">
        <v>1585692</v>
      </c>
      <c r="G30" s="62">
        <v>1585692</v>
      </c>
      <c r="H30" s="62"/>
      <c r="I30" s="128">
        <f t="shared" si="0"/>
        <v>93.984532807328662</v>
      </c>
      <c r="J30" s="128">
        <f t="shared" si="0"/>
        <v>93.984532807328662</v>
      </c>
      <c r="K30" s="149"/>
    </row>
    <row r="31" spans="1:11" ht="21" customHeight="1">
      <c r="A31" s="23" t="s">
        <v>27</v>
      </c>
      <c r="B31" s="72" t="s">
        <v>113</v>
      </c>
      <c r="C31" s="124"/>
      <c r="D31" s="161"/>
      <c r="E31" s="161"/>
      <c r="F31" s="161">
        <v>1473916</v>
      </c>
      <c r="G31" s="161">
        <v>927868</v>
      </c>
      <c r="H31" s="161">
        <v>546048</v>
      </c>
      <c r="I31" s="162"/>
      <c r="J31" s="162"/>
      <c r="K31" s="162"/>
    </row>
    <row r="32" spans="1:11" ht="18.75">
      <c r="A32" s="6"/>
      <c r="B32" s="6"/>
      <c r="C32" s="6"/>
      <c r="D32" s="6"/>
      <c r="E32" s="6"/>
      <c r="F32" s="6"/>
      <c r="G32" s="6"/>
      <c r="H32" s="6"/>
      <c r="I32" s="6"/>
      <c r="J32" s="6"/>
      <c r="K32" s="6"/>
    </row>
    <row r="33" spans="1:11" ht="18.75">
      <c r="A33" s="6"/>
      <c r="B33" s="6"/>
      <c r="C33" s="6"/>
      <c r="D33" s="6"/>
      <c r="E33" s="6"/>
      <c r="F33" s="6"/>
      <c r="G33" s="6"/>
      <c r="H33" s="6"/>
      <c r="I33" s="6"/>
      <c r="J33" s="6"/>
      <c r="K33" s="6"/>
    </row>
    <row r="34" spans="1:11" ht="18.75">
      <c r="A34" s="6"/>
      <c r="B34" s="6"/>
      <c r="C34" s="6"/>
      <c r="D34" s="6"/>
      <c r="E34" s="6"/>
      <c r="F34" s="6"/>
      <c r="G34" s="6"/>
      <c r="H34" s="6"/>
      <c r="I34" s="6"/>
      <c r="J34" s="6"/>
      <c r="K34" s="6"/>
    </row>
    <row r="35" spans="1:11" ht="18.75">
      <c r="A35" s="6"/>
      <c r="B35" s="6"/>
      <c r="C35" s="6"/>
      <c r="D35" s="6"/>
      <c r="E35" s="6"/>
      <c r="F35" s="6"/>
      <c r="G35" s="6"/>
      <c r="H35" s="6"/>
      <c r="I35" s="6"/>
      <c r="J35" s="6"/>
      <c r="K35" s="6"/>
    </row>
  </sheetData>
  <mergeCells count="15">
    <mergeCell ref="A3:K3"/>
    <mergeCell ref="A5:A7"/>
    <mergeCell ref="B5:B7"/>
    <mergeCell ref="C5:C7"/>
    <mergeCell ref="D5:E5"/>
    <mergeCell ref="F5:F7"/>
    <mergeCell ref="G5:H5"/>
    <mergeCell ref="I5:K5"/>
    <mergeCell ref="D6:D7"/>
    <mergeCell ref="E6:E7"/>
    <mergeCell ref="G6:G7"/>
    <mergeCell ref="H6:H7"/>
    <mergeCell ref="I6:I7"/>
    <mergeCell ref="J6:J7"/>
    <mergeCell ref="K6:K7"/>
  </mergeCells>
  <pageMargins left="0.23622047244094499" right="0.15748031496063" top="0.39370078740157499" bottom="0.74803149606299202" header="0.31496062992126" footer="0.31496062992126"/>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A5" sqref="A5"/>
    </sheetView>
  </sheetViews>
  <sheetFormatPr defaultColWidth="11.7109375" defaultRowHeight="16.5"/>
  <cols>
    <col min="1" max="1" width="10.140625" style="73" customWidth="1"/>
    <col min="2" max="2" width="74.42578125" style="73" customWidth="1"/>
    <col min="3" max="4" width="16.28515625" style="73" customWidth="1"/>
    <col min="5" max="5" width="16.28515625" style="108" customWidth="1"/>
    <col min="6" max="16384" width="11.7109375" style="73"/>
  </cols>
  <sheetData>
    <row r="1" spans="1:5">
      <c r="A1" s="57" t="s">
        <v>185</v>
      </c>
      <c r="E1" s="74" t="s">
        <v>114</v>
      </c>
    </row>
    <row r="2" spans="1:5">
      <c r="A2" s="75"/>
      <c r="E2" s="76"/>
    </row>
    <row r="3" spans="1:5">
      <c r="A3" s="296" t="s">
        <v>189</v>
      </c>
      <c r="B3" s="296"/>
      <c r="C3" s="296"/>
      <c r="D3" s="296"/>
      <c r="E3" s="296"/>
    </row>
    <row r="4" spans="1:5">
      <c r="A4" s="297" t="str">
        <f>'64'!A3:K3</f>
        <v>(Quyết toán đã được Hội đồng nhân dân phê duyệt)</v>
      </c>
      <c r="B4" s="297"/>
      <c r="C4" s="297"/>
      <c r="D4" s="297"/>
      <c r="E4" s="297"/>
    </row>
    <row r="5" spans="1:5">
      <c r="A5" s="147"/>
      <c r="B5" s="147"/>
      <c r="C5" s="147"/>
      <c r="D5" s="147"/>
      <c r="E5" s="147"/>
    </row>
    <row r="6" spans="1:5">
      <c r="A6" s="77"/>
      <c r="B6" s="78"/>
      <c r="C6" s="78"/>
      <c r="D6" s="78"/>
      <c r="E6" s="79" t="s">
        <v>0</v>
      </c>
    </row>
    <row r="7" spans="1:5" s="80" customFormat="1" ht="41.25" customHeight="1">
      <c r="A7" s="163" t="s">
        <v>1</v>
      </c>
      <c r="B7" s="163" t="s">
        <v>2</v>
      </c>
      <c r="C7" s="163" t="s">
        <v>38</v>
      </c>
      <c r="D7" s="163" t="s">
        <v>41</v>
      </c>
      <c r="E7" s="164" t="s">
        <v>48</v>
      </c>
    </row>
    <row r="8" spans="1:5" s="82" customFormat="1" ht="18" customHeight="1">
      <c r="A8" s="165"/>
      <c r="B8" s="166" t="s">
        <v>115</v>
      </c>
      <c r="C8" s="167">
        <v>11353852</v>
      </c>
      <c r="D8" s="167">
        <v>12133970.5</v>
      </c>
      <c r="E8" s="81">
        <f>D8/C8*100</f>
        <v>106.87095886048188</v>
      </c>
    </row>
    <row r="9" spans="1:5" s="82" customFormat="1" ht="18" customHeight="1">
      <c r="A9" s="168" t="s">
        <v>3</v>
      </c>
      <c r="B9" s="169" t="s">
        <v>116</v>
      </c>
      <c r="C9" s="170">
        <v>5158429</v>
      </c>
      <c r="D9" s="170">
        <v>5616397</v>
      </c>
      <c r="E9" s="83">
        <f t="shared" ref="E9:E41" si="0">D9/C9*100</f>
        <v>108.87805182546857</v>
      </c>
    </row>
    <row r="10" spans="1:5" s="82" customFormat="1" ht="18" customHeight="1">
      <c r="A10" s="168" t="s">
        <v>4</v>
      </c>
      <c r="B10" s="169" t="s">
        <v>117</v>
      </c>
      <c r="C10" s="170">
        <v>4508239</v>
      </c>
      <c r="D10" s="170">
        <v>5474721</v>
      </c>
      <c r="E10" s="83">
        <f t="shared" si="0"/>
        <v>121.43812694934763</v>
      </c>
    </row>
    <row r="11" spans="1:5" s="82" customFormat="1" ht="18" customHeight="1">
      <c r="A11" s="84"/>
      <c r="B11" s="85" t="s">
        <v>107</v>
      </c>
      <c r="C11" s="171"/>
      <c r="D11" s="171"/>
      <c r="E11" s="83"/>
    </row>
    <row r="12" spans="1:5" s="82" customFormat="1" ht="18" customHeight="1">
      <c r="A12" s="84" t="s">
        <v>6</v>
      </c>
      <c r="B12" s="86" t="s">
        <v>97</v>
      </c>
      <c r="C12" s="170">
        <v>1979450</v>
      </c>
      <c r="D12" s="170">
        <v>2931895</v>
      </c>
      <c r="E12" s="172">
        <f t="shared" si="0"/>
        <v>148.11664856399506</v>
      </c>
    </row>
    <row r="13" spans="1:5" s="82" customFormat="1" ht="18" customHeight="1">
      <c r="A13" s="87">
        <v>1</v>
      </c>
      <c r="B13" s="88" t="s">
        <v>98</v>
      </c>
      <c r="C13" s="89">
        <v>2911059.8489693841</v>
      </c>
      <c r="D13" s="89">
        <v>2808025</v>
      </c>
      <c r="E13" s="172">
        <f t="shared" si="0"/>
        <v>96.460572632820927</v>
      </c>
    </row>
    <row r="14" spans="1:5" s="82" customFormat="1" ht="18" customHeight="1">
      <c r="A14" s="87"/>
      <c r="B14" s="90" t="s">
        <v>107</v>
      </c>
      <c r="C14" s="91"/>
      <c r="D14" s="91"/>
      <c r="E14" s="172"/>
    </row>
    <row r="15" spans="1:5" s="82" customFormat="1" ht="18" customHeight="1">
      <c r="A15" s="92" t="s">
        <v>118</v>
      </c>
      <c r="B15" s="93" t="s">
        <v>108</v>
      </c>
      <c r="C15" s="94">
        <v>61973.116089613031</v>
      </c>
      <c r="D15" s="173">
        <v>57054</v>
      </c>
      <c r="E15" s="172">
        <f t="shared" si="0"/>
        <v>92.0625</v>
      </c>
    </row>
    <row r="16" spans="1:5" s="82" customFormat="1" ht="18" customHeight="1">
      <c r="A16" s="92" t="s">
        <v>119</v>
      </c>
      <c r="B16" s="93" t="s">
        <v>109</v>
      </c>
      <c r="C16" s="94">
        <v>9421.9681582912926</v>
      </c>
      <c r="D16" s="173">
        <v>7015</v>
      </c>
      <c r="E16" s="172">
        <f t="shared" si="0"/>
        <v>74.453658536585365</v>
      </c>
    </row>
    <row r="17" spans="1:5" s="82" customFormat="1" ht="18" customHeight="1">
      <c r="A17" s="92" t="s">
        <v>120</v>
      </c>
      <c r="B17" s="93" t="s">
        <v>121</v>
      </c>
      <c r="C17" s="94">
        <v>110954</v>
      </c>
      <c r="D17" s="173">
        <v>100908</v>
      </c>
      <c r="E17" s="172">
        <f t="shared" si="0"/>
        <v>90.945797357463448</v>
      </c>
    </row>
    <row r="18" spans="1:5" s="82" customFormat="1" ht="18" customHeight="1">
      <c r="A18" s="92" t="s">
        <v>122</v>
      </c>
      <c r="B18" s="93" t="s">
        <v>123</v>
      </c>
      <c r="C18" s="94">
        <v>19100</v>
      </c>
      <c r="D18" s="173">
        <v>16918</v>
      </c>
      <c r="E18" s="172">
        <f t="shared" si="0"/>
        <v>88.575916230366488</v>
      </c>
    </row>
    <row r="19" spans="1:5" s="82" customFormat="1" ht="18" customHeight="1">
      <c r="A19" s="92" t="s">
        <v>124</v>
      </c>
      <c r="B19" s="93" t="s">
        <v>125</v>
      </c>
      <c r="C19" s="94">
        <v>50000</v>
      </c>
      <c r="D19" s="94">
        <v>39966</v>
      </c>
      <c r="E19" s="172">
        <f t="shared" si="0"/>
        <v>79.932000000000002</v>
      </c>
    </row>
    <row r="20" spans="1:5" s="82" customFormat="1" ht="18" customHeight="1">
      <c r="A20" s="92" t="s">
        <v>126</v>
      </c>
      <c r="B20" s="93" t="s">
        <v>127</v>
      </c>
      <c r="C20" s="94">
        <v>500</v>
      </c>
      <c r="D20" s="94">
        <v>128</v>
      </c>
      <c r="E20" s="172">
        <f t="shared" si="0"/>
        <v>25.6</v>
      </c>
    </row>
    <row r="21" spans="1:5" s="82" customFormat="1" ht="18" customHeight="1">
      <c r="A21" s="92" t="s">
        <v>128</v>
      </c>
      <c r="B21" s="93" t="s">
        <v>129</v>
      </c>
      <c r="C21" s="94">
        <v>13491</v>
      </c>
      <c r="D21" s="94">
        <v>13491</v>
      </c>
      <c r="E21" s="172">
        <f t="shared" si="0"/>
        <v>100</v>
      </c>
    </row>
    <row r="22" spans="1:5" s="82" customFormat="1" ht="18" customHeight="1">
      <c r="A22" s="92" t="s">
        <v>130</v>
      </c>
      <c r="B22" s="93" t="s">
        <v>131</v>
      </c>
      <c r="C22" s="94"/>
      <c r="D22" s="94">
        <v>1634407</v>
      </c>
      <c r="E22" s="172"/>
    </row>
    <row r="23" spans="1:5" s="82" customFormat="1" ht="18" customHeight="1">
      <c r="A23" s="92" t="s">
        <v>132</v>
      </c>
      <c r="B23" s="93" t="s">
        <v>133</v>
      </c>
      <c r="C23" s="94"/>
      <c r="D23" s="94">
        <v>121944</v>
      </c>
      <c r="E23" s="172"/>
    </row>
    <row r="24" spans="1:5" s="82" customFormat="1" ht="18" customHeight="1">
      <c r="A24" s="92" t="s">
        <v>134</v>
      </c>
      <c r="B24" s="93" t="s">
        <v>135</v>
      </c>
      <c r="C24" s="94"/>
      <c r="D24" s="94">
        <v>66836</v>
      </c>
      <c r="E24" s="172"/>
    </row>
    <row r="25" spans="1:5" s="82" customFormat="1" ht="47.25">
      <c r="A25" s="95">
        <v>2</v>
      </c>
      <c r="B25" s="96" t="s">
        <v>105</v>
      </c>
      <c r="C25" s="94"/>
      <c r="D25" s="94">
        <v>120870</v>
      </c>
      <c r="E25" s="172"/>
    </row>
    <row r="26" spans="1:5" s="82" customFormat="1" ht="18" customHeight="1">
      <c r="A26" s="87">
        <v>3</v>
      </c>
      <c r="B26" s="88" t="s">
        <v>106</v>
      </c>
      <c r="C26" s="89"/>
      <c r="D26" s="89">
        <v>3000</v>
      </c>
      <c r="E26" s="172"/>
    </row>
    <row r="27" spans="1:5" s="82" customFormat="1" ht="18" customHeight="1">
      <c r="A27" s="84" t="s">
        <v>9</v>
      </c>
      <c r="B27" s="86" t="s">
        <v>18</v>
      </c>
      <c r="C27" s="174">
        <v>2439827</v>
      </c>
      <c r="D27" s="174">
        <v>2510941</v>
      </c>
      <c r="E27" s="83">
        <f t="shared" si="0"/>
        <v>102.91471485478274</v>
      </c>
    </row>
    <row r="28" spans="1:5" ht="18" customHeight="1">
      <c r="A28" s="97"/>
      <c r="B28" s="98" t="s">
        <v>107</v>
      </c>
      <c r="C28" s="99"/>
      <c r="D28" s="99"/>
      <c r="E28" s="100"/>
    </row>
    <row r="29" spans="1:5" ht="18" customHeight="1">
      <c r="A29" s="97">
        <v>1</v>
      </c>
      <c r="B29" s="93" t="s">
        <v>108</v>
      </c>
      <c r="C29" s="94">
        <v>615918</v>
      </c>
      <c r="D29" s="94">
        <v>610136</v>
      </c>
      <c r="E29" s="100">
        <f t="shared" si="0"/>
        <v>99.061238671381574</v>
      </c>
    </row>
    <row r="30" spans="1:5" ht="18" customHeight="1">
      <c r="A30" s="97">
        <f t="shared" ref="A30:A38" si="1">+A29+1</f>
        <v>2</v>
      </c>
      <c r="B30" s="93" t="s">
        <v>109</v>
      </c>
      <c r="C30" s="94">
        <v>13559</v>
      </c>
      <c r="D30" s="94">
        <v>11107</v>
      </c>
      <c r="E30" s="100">
        <f t="shared" si="0"/>
        <v>81.916070506674529</v>
      </c>
    </row>
    <row r="31" spans="1:5" ht="18" customHeight="1">
      <c r="A31" s="97">
        <f t="shared" si="1"/>
        <v>3</v>
      </c>
      <c r="B31" s="93" t="s">
        <v>121</v>
      </c>
      <c r="C31" s="94">
        <v>865761</v>
      </c>
      <c r="D31" s="94">
        <v>874512</v>
      </c>
      <c r="E31" s="100">
        <f t="shared" si="0"/>
        <v>101.01078704168933</v>
      </c>
    </row>
    <row r="32" spans="1:5" ht="18" customHeight="1">
      <c r="A32" s="97">
        <f t="shared" si="1"/>
        <v>4</v>
      </c>
      <c r="B32" s="93" t="s">
        <v>123</v>
      </c>
      <c r="C32" s="94">
        <v>25633</v>
      </c>
      <c r="D32" s="94">
        <v>31661</v>
      </c>
      <c r="E32" s="100">
        <f t="shared" si="0"/>
        <v>123.51656068349392</v>
      </c>
    </row>
    <row r="33" spans="1:5" ht="18" customHeight="1">
      <c r="A33" s="97">
        <f t="shared" si="1"/>
        <v>5</v>
      </c>
      <c r="B33" s="93" t="s">
        <v>125</v>
      </c>
      <c r="C33" s="94">
        <v>30437</v>
      </c>
      <c r="D33" s="94">
        <v>31111</v>
      </c>
      <c r="E33" s="100">
        <f t="shared" si="0"/>
        <v>102.21441009297894</v>
      </c>
    </row>
    <row r="34" spans="1:5" ht="18" customHeight="1">
      <c r="A34" s="97">
        <f t="shared" si="1"/>
        <v>6</v>
      </c>
      <c r="B34" s="93" t="s">
        <v>127</v>
      </c>
      <c r="C34" s="94">
        <v>2340</v>
      </c>
      <c r="D34" s="94">
        <v>1137</v>
      </c>
      <c r="E34" s="100">
        <f t="shared" si="0"/>
        <v>48.589743589743591</v>
      </c>
    </row>
    <row r="35" spans="1:5" ht="18" customHeight="1">
      <c r="A35" s="97">
        <f t="shared" si="1"/>
        <v>7</v>
      </c>
      <c r="B35" s="93" t="s">
        <v>129</v>
      </c>
      <c r="C35" s="94">
        <v>4500</v>
      </c>
      <c r="D35" s="94">
        <v>12046</v>
      </c>
      <c r="E35" s="100">
        <f t="shared" si="0"/>
        <v>267.68888888888893</v>
      </c>
    </row>
    <row r="36" spans="1:5" ht="18" customHeight="1">
      <c r="A36" s="97">
        <f t="shared" si="1"/>
        <v>8</v>
      </c>
      <c r="B36" s="93" t="s">
        <v>131</v>
      </c>
      <c r="C36" s="94">
        <v>194929</v>
      </c>
      <c r="D36" s="94">
        <v>270445</v>
      </c>
      <c r="E36" s="100">
        <f t="shared" si="0"/>
        <v>138.74025927388948</v>
      </c>
    </row>
    <row r="37" spans="1:5" ht="18" customHeight="1">
      <c r="A37" s="97">
        <f t="shared" si="1"/>
        <v>9</v>
      </c>
      <c r="B37" s="93" t="s">
        <v>133</v>
      </c>
      <c r="C37" s="94">
        <v>450039</v>
      </c>
      <c r="D37" s="94">
        <v>517197</v>
      </c>
      <c r="E37" s="100">
        <f t="shared" si="0"/>
        <v>114.92270669875278</v>
      </c>
    </row>
    <row r="38" spans="1:5" ht="18" customHeight="1">
      <c r="A38" s="97">
        <f t="shared" si="1"/>
        <v>10</v>
      </c>
      <c r="B38" s="93" t="s">
        <v>135</v>
      </c>
      <c r="C38" s="94">
        <v>51139</v>
      </c>
      <c r="D38" s="94">
        <v>49221</v>
      </c>
      <c r="E38" s="100">
        <f t="shared" si="0"/>
        <v>96.249437806761961</v>
      </c>
    </row>
    <row r="39" spans="1:5" ht="18" customHeight="1">
      <c r="A39" s="84" t="s">
        <v>12</v>
      </c>
      <c r="B39" s="101" t="s">
        <v>19</v>
      </c>
      <c r="C39" s="174">
        <v>3700</v>
      </c>
      <c r="D39" s="174">
        <v>2305</v>
      </c>
      <c r="E39" s="175">
        <f t="shared" si="0"/>
        <v>62.297297297297291</v>
      </c>
    </row>
    <row r="40" spans="1:5" ht="18" customHeight="1">
      <c r="A40" s="102" t="s">
        <v>86</v>
      </c>
      <c r="B40" s="101" t="s">
        <v>20</v>
      </c>
      <c r="C40" s="174">
        <v>1300</v>
      </c>
      <c r="D40" s="174">
        <v>1300</v>
      </c>
      <c r="E40" s="175">
        <f t="shared" si="0"/>
        <v>100</v>
      </c>
    </row>
    <row r="41" spans="1:5" ht="18" customHeight="1">
      <c r="A41" s="102" t="s">
        <v>110</v>
      </c>
      <c r="B41" s="101" t="s">
        <v>21</v>
      </c>
      <c r="C41" s="174">
        <v>83962</v>
      </c>
      <c r="D41" s="94"/>
      <c r="E41" s="175">
        <f t="shared" si="0"/>
        <v>0</v>
      </c>
    </row>
    <row r="42" spans="1:5" s="82" customFormat="1" ht="18" customHeight="1">
      <c r="A42" s="102" t="s">
        <v>111</v>
      </c>
      <c r="B42" s="101" t="s">
        <v>22</v>
      </c>
      <c r="C42" s="103"/>
      <c r="D42" s="103"/>
      <c r="E42" s="83"/>
    </row>
    <row r="43" spans="1:5" s="82" customFormat="1" ht="18" customHeight="1">
      <c r="A43" s="104" t="s">
        <v>27</v>
      </c>
      <c r="B43" s="105" t="s">
        <v>113</v>
      </c>
      <c r="C43" s="106"/>
      <c r="D43" s="273">
        <v>927867.5</v>
      </c>
      <c r="E43" s="107"/>
    </row>
  </sheetData>
  <mergeCells count="2">
    <mergeCell ref="A3:E3"/>
    <mergeCell ref="A4:E4"/>
  </mergeCells>
  <pageMargins left="0.42" right="0.3"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63"/>
  <sheetViews>
    <sheetView workbookViewId="0">
      <selection activeCell="A4" sqref="A4"/>
    </sheetView>
  </sheetViews>
  <sheetFormatPr defaultColWidth="12.85546875" defaultRowHeight="15.75"/>
  <cols>
    <col min="1" max="1" width="7.7109375" style="230" customWidth="1"/>
    <col min="2" max="2" width="38.5703125" style="141" customWidth="1"/>
    <col min="3" max="3" width="10.28515625" style="35" customWidth="1"/>
    <col min="4" max="4" width="11.5703125" style="35" customWidth="1"/>
    <col min="5" max="6" width="10.85546875" style="35" customWidth="1"/>
    <col min="7" max="7" width="11.7109375" style="35" customWidth="1"/>
    <col min="8" max="8" width="11" style="35" customWidth="1"/>
    <col min="9" max="9" width="10.7109375" style="35" customWidth="1"/>
    <col min="10" max="10" width="10" style="35" customWidth="1"/>
    <col min="11" max="13" width="11.7109375" style="35" hidden="1" customWidth="1"/>
    <col min="14" max="14" width="11.7109375" style="35" customWidth="1"/>
    <col min="15" max="17" width="11.5703125" style="35" customWidth="1"/>
    <col min="18" max="18" width="11.7109375" style="35" customWidth="1"/>
    <col min="19" max="16384" width="12.85546875" style="35"/>
  </cols>
  <sheetData>
    <row r="1" spans="1:19" ht="18.75">
      <c r="A1" s="302" t="s">
        <v>185</v>
      </c>
      <c r="B1" s="302"/>
      <c r="C1" s="1"/>
      <c r="D1" s="1"/>
      <c r="E1" s="1"/>
      <c r="F1" s="1"/>
      <c r="G1" s="33"/>
      <c r="H1" s="34"/>
      <c r="I1" s="34"/>
      <c r="J1" s="109"/>
      <c r="K1" s="33"/>
      <c r="L1" s="34"/>
      <c r="M1" s="34"/>
      <c r="N1" s="34"/>
      <c r="O1" s="1"/>
      <c r="P1" s="1"/>
      <c r="Q1" s="143" t="s">
        <v>136</v>
      </c>
      <c r="R1" s="109"/>
      <c r="S1" s="1"/>
    </row>
    <row r="2" spans="1:19" ht="20.25">
      <c r="A2" s="303" t="s">
        <v>190</v>
      </c>
      <c r="B2" s="303"/>
      <c r="C2" s="303"/>
      <c r="D2" s="303"/>
      <c r="E2" s="303"/>
      <c r="F2" s="303"/>
      <c r="G2" s="303"/>
      <c r="H2" s="303"/>
      <c r="I2" s="303"/>
      <c r="J2" s="303"/>
      <c r="K2" s="303"/>
      <c r="L2" s="303"/>
      <c r="M2" s="303"/>
      <c r="N2" s="303"/>
      <c r="O2" s="303"/>
      <c r="P2" s="303"/>
      <c r="Q2" s="303"/>
      <c r="R2" s="38"/>
    </row>
    <row r="3" spans="1:19">
      <c r="A3" s="276" t="str">
        <f>'65'!A4:E4</f>
        <v>(Quyết toán đã được Hội đồng nhân dân phê duyệt)</v>
      </c>
      <c r="B3" s="276"/>
      <c r="C3" s="276"/>
      <c r="D3" s="276"/>
      <c r="E3" s="276"/>
      <c r="F3" s="276"/>
      <c r="G3" s="276"/>
      <c r="H3" s="276"/>
      <c r="I3" s="276"/>
      <c r="J3" s="276"/>
      <c r="K3" s="276"/>
      <c r="L3" s="276"/>
      <c r="M3" s="276"/>
      <c r="N3" s="276"/>
      <c r="O3" s="276"/>
      <c r="P3" s="276"/>
      <c r="Q3" s="276"/>
      <c r="R3" s="27"/>
    </row>
    <row r="4" spans="1:19" ht="18.75">
      <c r="A4" s="176"/>
      <c r="B4" s="140"/>
      <c r="C4" s="39"/>
      <c r="D4" s="39"/>
      <c r="E4" s="39"/>
      <c r="F4" s="40"/>
      <c r="G4" s="110"/>
      <c r="H4" s="110"/>
      <c r="I4" s="110"/>
      <c r="J4" s="110"/>
      <c r="K4" s="110"/>
      <c r="L4" s="110"/>
      <c r="M4" s="110"/>
      <c r="N4" s="110"/>
      <c r="O4" s="39"/>
      <c r="P4" s="39"/>
      <c r="Q4" s="148" t="s">
        <v>0</v>
      </c>
      <c r="R4" s="110"/>
    </row>
    <row r="5" spans="1:19" ht="26.45" customHeight="1">
      <c r="A5" s="304" t="s">
        <v>1</v>
      </c>
      <c r="B5" s="304" t="s">
        <v>137</v>
      </c>
      <c r="C5" s="307" t="s">
        <v>38</v>
      </c>
      <c r="D5" s="308"/>
      <c r="E5" s="309"/>
      <c r="F5" s="307" t="s">
        <v>41</v>
      </c>
      <c r="G5" s="308"/>
      <c r="H5" s="308"/>
      <c r="I5" s="308"/>
      <c r="J5" s="308"/>
      <c r="K5" s="308"/>
      <c r="L5" s="308"/>
      <c r="M5" s="308"/>
      <c r="N5" s="309"/>
      <c r="O5" s="307" t="s">
        <v>48</v>
      </c>
      <c r="P5" s="308"/>
      <c r="Q5" s="309"/>
      <c r="R5" s="110"/>
    </row>
    <row r="6" spans="1:19" s="111" customFormat="1" ht="27.75" customHeight="1">
      <c r="A6" s="305"/>
      <c r="B6" s="305"/>
      <c r="C6" s="304" t="s">
        <v>138</v>
      </c>
      <c r="D6" s="304" t="s">
        <v>139</v>
      </c>
      <c r="E6" s="304" t="s">
        <v>191</v>
      </c>
      <c r="F6" s="304" t="s">
        <v>138</v>
      </c>
      <c r="G6" s="304" t="s">
        <v>139</v>
      </c>
      <c r="H6" s="298" t="s">
        <v>141</v>
      </c>
      <c r="I6" s="298" t="s">
        <v>142</v>
      </c>
      <c r="J6" s="299" t="s">
        <v>143</v>
      </c>
      <c r="K6" s="300" t="s">
        <v>144</v>
      </c>
      <c r="L6" s="300"/>
      <c r="M6" s="300"/>
      <c r="N6" s="301" t="s">
        <v>145</v>
      </c>
      <c r="O6" s="304" t="s">
        <v>138</v>
      </c>
      <c r="P6" s="304" t="s">
        <v>139</v>
      </c>
      <c r="Q6" s="298" t="s">
        <v>141</v>
      </c>
    </row>
    <row r="7" spans="1:19" s="112" customFormat="1" ht="76.5" customHeight="1">
      <c r="A7" s="306"/>
      <c r="B7" s="306"/>
      <c r="C7" s="306"/>
      <c r="D7" s="306"/>
      <c r="E7" s="306"/>
      <c r="F7" s="306"/>
      <c r="G7" s="306"/>
      <c r="H7" s="298"/>
      <c r="I7" s="298"/>
      <c r="J7" s="299"/>
      <c r="K7" s="177" t="s">
        <v>146</v>
      </c>
      <c r="L7" s="177" t="s">
        <v>147</v>
      </c>
      <c r="M7" s="177" t="s">
        <v>140</v>
      </c>
      <c r="N7" s="301"/>
      <c r="O7" s="306"/>
      <c r="P7" s="306"/>
      <c r="Q7" s="298"/>
    </row>
    <row r="8" spans="1:19" s="114" customFormat="1" ht="33.75" customHeight="1">
      <c r="A8" s="129"/>
      <c r="B8" s="178" t="s">
        <v>138</v>
      </c>
      <c r="C8" s="130">
        <f>C9+C858+C859+C860+C861+C862+C863</f>
        <v>2528789</v>
      </c>
      <c r="D8" s="130">
        <f t="shared" ref="D8:N8" si="0">D9+D858+D859+D860+D861+D862+D863</f>
        <v>0</v>
      </c>
      <c r="E8" s="130">
        <f t="shared" si="0"/>
        <v>2439827</v>
      </c>
      <c r="F8" s="130">
        <f t="shared" si="0"/>
        <v>3988462.1921999999</v>
      </c>
      <c r="G8" s="130">
        <f t="shared" si="0"/>
        <v>0</v>
      </c>
      <c r="H8" s="130">
        <f t="shared" si="0"/>
        <v>2510941.1921999999</v>
      </c>
      <c r="I8" s="130">
        <f t="shared" si="0"/>
        <v>2305</v>
      </c>
      <c r="J8" s="130">
        <f t="shared" si="0"/>
        <v>1300</v>
      </c>
      <c r="K8" s="130">
        <f t="shared" si="0"/>
        <v>0</v>
      </c>
      <c r="L8" s="130">
        <f t="shared" si="0"/>
        <v>0</v>
      </c>
      <c r="M8" s="130">
        <f t="shared" si="0"/>
        <v>0</v>
      </c>
      <c r="N8" s="130">
        <f t="shared" si="0"/>
        <v>1473916</v>
      </c>
      <c r="O8" s="130">
        <f>F8/C8*100</f>
        <v>157.72222167211262</v>
      </c>
      <c r="P8" s="130" t="e">
        <f>G8/D8*100</f>
        <v>#DIV/0!</v>
      </c>
      <c r="Q8" s="130">
        <f>H8/E8*100</f>
        <v>102.91472273239044</v>
      </c>
    </row>
    <row r="9" spans="1:19" s="132" customFormat="1" ht="33.75" customHeight="1">
      <c r="A9" s="131" t="s">
        <v>6</v>
      </c>
      <c r="B9" s="113" t="s">
        <v>180</v>
      </c>
      <c r="C9" s="179">
        <v>2439827</v>
      </c>
      <c r="D9" s="179"/>
      <c r="E9" s="180">
        <v>2439827</v>
      </c>
      <c r="F9" s="179">
        <f>G9+H9+I9+J9+K9+N9</f>
        <v>2510941.1921999999</v>
      </c>
      <c r="G9" s="179"/>
      <c r="H9" s="180">
        <f>H10+H12+H20+H112+H181+H193+H204+H219+H221+H223+H236+H280+H287+H370+H469+H481+H482+H483+H491</f>
        <v>2510941.1921999999</v>
      </c>
      <c r="I9" s="181"/>
      <c r="J9" s="181"/>
      <c r="K9" s="181"/>
      <c r="L9" s="181"/>
      <c r="M9" s="181"/>
      <c r="N9" s="182"/>
      <c r="O9" s="113">
        <f t="shared" ref="O9:O72" si="1">F9/C9*100</f>
        <v>102.91472273239044</v>
      </c>
      <c r="P9" s="113"/>
      <c r="Q9" s="113">
        <f t="shared" ref="Q9:Q72" si="2">H9/E9*100</f>
        <v>102.91472273239044</v>
      </c>
    </row>
    <row r="10" spans="1:19" s="132" customFormat="1" ht="33.75" customHeight="1">
      <c r="A10" s="131">
        <v>1</v>
      </c>
      <c r="B10" s="183" t="s">
        <v>192</v>
      </c>
      <c r="C10" s="179">
        <v>38885</v>
      </c>
      <c r="D10" s="179"/>
      <c r="E10" s="184">
        <v>38885</v>
      </c>
      <c r="F10" s="179">
        <f t="shared" ref="F10:F73" si="3">G10+H10+I10+J10+K10+N10</f>
        <v>41975.845999999998</v>
      </c>
      <c r="G10" s="179"/>
      <c r="H10" s="184">
        <f>H11</f>
        <v>41975.845999999998</v>
      </c>
      <c r="I10" s="181"/>
      <c r="J10" s="181"/>
      <c r="K10" s="181"/>
      <c r="L10" s="181"/>
      <c r="M10" s="181"/>
      <c r="N10" s="182"/>
      <c r="O10" s="113">
        <f t="shared" si="1"/>
        <v>107.94868458274398</v>
      </c>
      <c r="P10" s="113"/>
      <c r="Q10" s="113">
        <f t="shared" si="2"/>
        <v>107.94868458274398</v>
      </c>
    </row>
    <row r="11" spans="1:19" s="132" customFormat="1" ht="12.75">
      <c r="A11" s="185" t="s">
        <v>36</v>
      </c>
      <c r="B11" s="186" t="s">
        <v>193</v>
      </c>
      <c r="C11" s="187">
        <v>38885</v>
      </c>
      <c r="D11" s="187"/>
      <c r="E11" s="188">
        <v>38885</v>
      </c>
      <c r="F11" s="187">
        <f t="shared" si="3"/>
        <v>41975.845999999998</v>
      </c>
      <c r="G11" s="187"/>
      <c r="H11" s="189">
        <f>38631.846+3344</f>
        <v>41975.845999999998</v>
      </c>
      <c r="I11" s="181"/>
      <c r="J11" s="181"/>
      <c r="K11" s="181"/>
      <c r="L11" s="181"/>
      <c r="M11" s="181"/>
      <c r="N11" s="182"/>
      <c r="O11" s="190">
        <f t="shared" si="1"/>
        <v>107.94868458274398</v>
      </c>
      <c r="P11" s="190"/>
      <c r="Q11" s="190">
        <f t="shared" si="2"/>
        <v>107.94868458274398</v>
      </c>
    </row>
    <row r="12" spans="1:19" s="132" customFormat="1" ht="33.75" customHeight="1">
      <c r="A12" s="131">
        <v>2</v>
      </c>
      <c r="B12" s="183" t="s">
        <v>194</v>
      </c>
      <c r="C12" s="179">
        <v>56470</v>
      </c>
      <c r="D12" s="179"/>
      <c r="E12" s="184">
        <v>56470</v>
      </c>
      <c r="F12" s="179">
        <f t="shared" si="3"/>
        <v>50115.743000000002</v>
      </c>
      <c r="G12" s="179"/>
      <c r="H12" s="184">
        <f>H13+H19</f>
        <v>50115.743000000002</v>
      </c>
      <c r="I12" s="181"/>
      <c r="J12" s="181"/>
      <c r="K12" s="181"/>
      <c r="L12" s="181"/>
      <c r="M12" s="181"/>
      <c r="N12" s="182"/>
      <c r="O12" s="190">
        <f t="shared" si="1"/>
        <v>88.74755268284045</v>
      </c>
      <c r="P12" s="190"/>
      <c r="Q12" s="190">
        <f t="shared" si="2"/>
        <v>88.74755268284045</v>
      </c>
    </row>
    <row r="13" spans="1:19" s="132" customFormat="1" ht="12.75">
      <c r="A13" s="185" t="s">
        <v>36</v>
      </c>
      <c r="B13" s="186" t="s">
        <v>195</v>
      </c>
      <c r="C13" s="187">
        <v>0</v>
      </c>
      <c r="D13" s="187"/>
      <c r="E13" s="189"/>
      <c r="F13" s="187">
        <f t="shared" si="3"/>
        <v>42720.288</v>
      </c>
      <c r="G13" s="187"/>
      <c r="H13" s="189">
        <f>SUM(H14:H18)</f>
        <v>42720.288</v>
      </c>
      <c r="I13" s="181"/>
      <c r="J13" s="181"/>
      <c r="K13" s="181"/>
      <c r="L13" s="181"/>
      <c r="M13" s="181"/>
      <c r="N13" s="182"/>
      <c r="O13" s="190"/>
      <c r="P13" s="190"/>
      <c r="Q13" s="190"/>
    </row>
    <row r="14" spans="1:19" s="132" customFormat="1" ht="12.75">
      <c r="A14" s="185" t="s">
        <v>196</v>
      </c>
      <c r="B14" s="186" t="s">
        <v>197</v>
      </c>
      <c r="C14" s="187">
        <v>26755</v>
      </c>
      <c r="D14" s="187"/>
      <c r="E14" s="189">
        <v>26755</v>
      </c>
      <c r="F14" s="187">
        <f t="shared" si="3"/>
        <v>27752.904000000002</v>
      </c>
      <c r="G14" s="187"/>
      <c r="H14" s="189">
        <f>35992.904-218-9820+1798</f>
        <v>27752.904000000002</v>
      </c>
      <c r="I14" s="181"/>
      <c r="J14" s="181"/>
      <c r="K14" s="181"/>
      <c r="L14" s="181"/>
      <c r="M14" s="181"/>
      <c r="N14" s="182"/>
      <c r="O14" s="190">
        <f t="shared" si="1"/>
        <v>103.72978508689965</v>
      </c>
      <c r="P14" s="190"/>
      <c r="Q14" s="190">
        <f t="shared" si="2"/>
        <v>103.72978508689965</v>
      </c>
    </row>
    <row r="15" spans="1:19" s="132" customFormat="1" ht="76.5">
      <c r="A15" s="185" t="s">
        <v>196</v>
      </c>
      <c r="B15" s="191" t="s">
        <v>198</v>
      </c>
      <c r="C15" s="187">
        <v>1500</v>
      </c>
      <c r="D15" s="187"/>
      <c r="E15" s="189">
        <v>1500</v>
      </c>
      <c r="F15" s="187">
        <f t="shared" si="3"/>
        <v>1420</v>
      </c>
      <c r="G15" s="187"/>
      <c r="H15" s="189">
        <v>1420</v>
      </c>
      <c r="I15" s="181"/>
      <c r="J15" s="181"/>
      <c r="K15" s="181"/>
      <c r="L15" s="181"/>
      <c r="M15" s="181"/>
      <c r="N15" s="182"/>
      <c r="O15" s="190">
        <f t="shared" si="1"/>
        <v>94.666666666666671</v>
      </c>
      <c r="P15" s="190"/>
      <c r="Q15" s="190">
        <f t="shared" si="2"/>
        <v>94.666666666666671</v>
      </c>
    </row>
    <row r="16" spans="1:19" s="132" customFormat="1" ht="38.25">
      <c r="A16" s="192" t="s">
        <v>196</v>
      </c>
      <c r="B16" s="191" t="s">
        <v>199</v>
      </c>
      <c r="C16" s="187">
        <v>7200</v>
      </c>
      <c r="D16" s="187"/>
      <c r="E16" s="189">
        <v>7200</v>
      </c>
      <c r="F16" s="187">
        <f t="shared" si="3"/>
        <v>218</v>
      </c>
      <c r="G16" s="187"/>
      <c r="H16" s="189">
        <v>218</v>
      </c>
      <c r="I16" s="181"/>
      <c r="J16" s="181"/>
      <c r="K16" s="181"/>
      <c r="L16" s="181"/>
      <c r="M16" s="181"/>
      <c r="N16" s="182"/>
      <c r="O16" s="190">
        <f t="shared" si="1"/>
        <v>3.0277777777777777</v>
      </c>
      <c r="P16" s="190"/>
      <c r="Q16" s="190">
        <f t="shared" si="2"/>
        <v>3.0277777777777777</v>
      </c>
    </row>
    <row r="17" spans="1:17" s="132" customFormat="1" ht="12.75">
      <c r="A17" s="192" t="s">
        <v>196</v>
      </c>
      <c r="B17" s="186" t="s">
        <v>200</v>
      </c>
      <c r="C17" s="187">
        <v>3000</v>
      </c>
      <c r="D17" s="187"/>
      <c r="E17" s="189">
        <v>3000</v>
      </c>
      <c r="F17" s="187">
        <f t="shared" si="3"/>
        <v>3509.384</v>
      </c>
      <c r="G17" s="187"/>
      <c r="H17" s="188">
        <v>3509.384</v>
      </c>
      <c r="I17" s="181"/>
      <c r="J17" s="181"/>
      <c r="K17" s="181"/>
      <c r="L17" s="181"/>
      <c r="M17" s="181"/>
      <c r="N17" s="182"/>
      <c r="O17" s="190">
        <f t="shared" si="1"/>
        <v>116.97946666666668</v>
      </c>
      <c r="P17" s="190"/>
      <c r="Q17" s="190">
        <f t="shared" si="2"/>
        <v>116.97946666666668</v>
      </c>
    </row>
    <row r="18" spans="1:17" s="132" customFormat="1" ht="63.75">
      <c r="A18" s="192" t="s">
        <v>196</v>
      </c>
      <c r="B18" s="186" t="s">
        <v>201</v>
      </c>
      <c r="C18" s="187">
        <v>10000</v>
      </c>
      <c r="D18" s="187"/>
      <c r="E18" s="189">
        <v>10000</v>
      </c>
      <c r="F18" s="187">
        <f t="shared" si="3"/>
        <v>9820</v>
      </c>
      <c r="G18" s="187"/>
      <c r="H18" s="188">
        <v>9820</v>
      </c>
      <c r="I18" s="181"/>
      <c r="J18" s="181"/>
      <c r="K18" s="181"/>
      <c r="L18" s="181"/>
      <c r="M18" s="181"/>
      <c r="N18" s="182"/>
      <c r="O18" s="190">
        <f t="shared" si="1"/>
        <v>98.2</v>
      </c>
      <c r="P18" s="190"/>
      <c r="Q18" s="190">
        <f t="shared" si="2"/>
        <v>98.2</v>
      </c>
    </row>
    <row r="19" spans="1:17" s="132" customFormat="1" ht="76.5">
      <c r="A19" s="185" t="s">
        <v>36</v>
      </c>
      <c r="B19" s="191" t="s">
        <v>202</v>
      </c>
      <c r="C19" s="179">
        <v>8015</v>
      </c>
      <c r="D19" s="179">
        <v>0</v>
      </c>
      <c r="E19" s="189">
        <v>8015</v>
      </c>
      <c r="F19" s="179">
        <f t="shared" si="3"/>
        <v>7395.4549999999999</v>
      </c>
      <c r="G19" s="179"/>
      <c r="H19" s="189">
        <f>815+792.398+2678.057+3110</f>
        <v>7395.4549999999999</v>
      </c>
      <c r="I19" s="181"/>
      <c r="J19" s="181"/>
      <c r="K19" s="181"/>
      <c r="L19" s="181"/>
      <c r="M19" s="181"/>
      <c r="N19" s="182"/>
      <c r="O19" s="190">
        <f t="shared" si="1"/>
        <v>92.270180910792263</v>
      </c>
      <c r="P19" s="190"/>
      <c r="Q19" s="190">
        <f t="shared" si="2"/>
        <v>92.270180910792263</v>
      </c>
    </row>
    <row r="20" spans="1:17" s="132" customFormat="1" ht="33.75" customHeight="1">
      <c r="A20" s="131">
        <v>3</v>
      </c>
      <c r="B20" s="194" t="s">
        <v>203</v>
      </c>
      <c r="C20" s="179">
        <v>615917.99999999988</v>
      </c>
      <c r="D20" s="179">
        <v>0</v>
      </c>
      <c r="E20" s="180">
        <v>615917.99999999988</v>
      </c>
      <c r="F20" s="179">
        <f t="shared" si="3"/>
        <v>605863.23199999984</v>
      </c>
      <c r="G20" s="179"/>
      <c r="H20" s="180">
        <f>H21+H75</f>
        <v>605863.23199999984</v>
      </c>
      <c r="I20" s="181"/>
      <c r="J20" s="181"/>
      <c r="K20" s="181"/>
      <c r="L20" s="181"/>
      <c r="M20" s="181"/>
      <c r="N20" s="182"/>
      <c r="O20" s="190">
        <f t="shared" si="1"/>
        <v>98.367515156238326</v>
      </c>
      <c r="P20" s="190"/>
      <c r="Q20" s="190">
        <f t="shared" si="2"/>
        <v>98.367515156238326</v>
      </c>
    </row>
    <row r="21" spans="1:17" s="132" customFormat="1" ht="33.75" customHeight="1">
      <c r="A21" s="193" t="s">
        <v>204</v>
      </c>
      <c r="B21" s="194" t="s">
        <v>205</v>
      </c>
      <c r="C21" s="187">
        <v>504884.99999999988</v>
      </c>
      <c r="D21" s="187"/>
      <c r="E21" s="184">
        <v>504884.99999999988</v>
      </c>
      <c r="F21" s="187">
        <f t="shared" si="3"/>
        <v>509511.58799999987</v>
      </c>
      <c r="G21" s="187"/>
      <c r="H21" s="184">
        <f>SUM(H22:H74)</f>
        <v>509511.58799999987</v>
      </c>
      <c r="I21" s="181"/>
      <c r="J21" s="181"/>
      <c r="K21" s="181"/>
      <c r="L21" s="181"/>
      <c r="M21" s="181"/>
      <c r="N21" s="182"/>
      <c r="O21" s="190">
        <f t="shared" si="1"/>
        <v>100.91636471671768</v>
      </c>
      <c r="P21" s="190"/>
      <c r="Q21" s="190">
        <f t="shared" si="2"/>
        <v>100.91636471671768</v>
      </c>
    </row>
    <row r="22" spans="1:17" s="132" customFormat="1" ht="12.75">
      <c r="A22" s="185" t="s">
        <v>36</v>
      </c>
      <c r="B22" s="195" t="s">
        <v>206</v>
      </c>
      <c r="C22" s="187">
        <v>27769.643</v>
      </c>
      <c r="D22" s="187"/>
      <c r="E22" s="189">
        <v>27769.643</v>
      </c>
      <c r="F22" s="187">
        <f t="shared" si="3"/>
        <v>27666.739000000001</v>
      </c>
      <c r="G22" s="187"/>
      <c r="H22" s="189">
        <f>27522.739+144</f>
        <v>27666.739000000001</v>
      </c>
      <c r="I22" s="181"/>
      <c r="J22" s="181"/>
      <c r="K22" s="181"/>
      <c r="L22" s="181"/>
      <c r="M22" s="181"/>
      <c r="N22" s="182"/>
      <c r="O22" s="190">
        <f t="shared" si="1"/>
        <v>99.629437079907731</v>
      </c>
      <c r="P22" s="190"/>
      <c r="Q22" s="190">
        <f t="shared" si="2"/>
        <v>99.629437079907731</v>
      </c>
    </row>
    <row r="23" spans="1:17" s="132" customFormat="1" ht="12.75">
      <c r="A23" s="185" t="s">
        <v>36</v>
      </c>
      <c r="B23" s="195" t="s">
        <v>207</v>
      </c>
      <c r="C23" s="187">
        <v>27300.351999999999</v>
      </c>
      <c r="D23" s="187"/>
      <c r="E23" s="189">
        <v>27300.351999999999</v>
      </c>
      <c r="F23" s="187">
        <f t="shared" si="3"/>
        <v>26320.072</v>
      </c>
      <c r="G23" s="187"/>
      <c r="H23" s="189">
        <f>26124.072+196</f>
        <v>26320.072</v>
      </c>
      <c r="I23" s="181"/>
      <c r="J23" s="181"/>
      <c r="K23" s="181"/>
      <c r="L23" s="181"/>
      <c r="M23" s="181"/>
      <c r="N23" s="182"/>
      <c r="O23" s="190">
        <f t="shared" si="1"/>
        <v>96.409277067196797</v>
      </c>
      <c r="P23" s="190"/>
      <c r="Q23" s="190">
        <f t="shared" si="2"/>
        <v>96.409277067196797</v>
      </c>
    </row>
    <row r="24" spans="1:17" s="132" customFormat="1" ht="12.75">
      <c r="A24" s="185" t="s">
        <v>36</v>
      </c>
      <c r="B24" s="195" t="s">
        <v>208</v>
      </c>
      <c r="C24" s="187">
        <v>7221.3370000000004</v>
      </c>
      <c r="D24" s="187"/>
      <c r="E24" s="189">
        <v>7221.3370000000004</v>
      </c>
      <c r="F24" s="187">
        <f t="shared" si="3"/>
        <v>7352.9369999999999</v>
      </c>
      <c r="G24" s="187"/>
      <c r="H24" s="189">
        <f>7180.937+172</f>
        <v>7352.9369999999999</v>
      </c>
      <c r="I24" s="181"/>
      <c r="J24" s="181"/>
      <c r="K24" s="181"/>
      <c r="L24" s="181"/>
      <c r="M24" s="181"/>
      <c r="N24" s="182"/>
      <c r="O24" s="190">
        <f t="shared" si="1"/>
        <v>101.82237721352708</v>
      </c>
      <c r="P24" s="190"/>
      <c r="Q24" s="190">
        <f t="shared" si="2"/>
        <v>101.82237721352708</v>
      </c>
    </row>
    <row r="25" spans="1:17" s="132" customFormat="1" ht="12.75">
      <c r="A25" s="185" t="s">
        <v>36</v>
      </c>
      <c r="B25" s="195" t="s">
        <v>209</v>
      </c>
      <c r="C25" s="187">
        <v>10589.603999999999</v>
      </c>
      <c r="D25" s="187"/>
      <c r="E25" s="189">
        <v>10589.603999999999</v>
      </c>
      <c r="F25" s="187">
        <f t="shared" si="3"/>
        <v>10108.31</v>
      </c>
      <c r="G25" s="187"/>
      <c r="H25" s="189">
        <v>10108.31</v>
      </c>
      <c r="I25" s="181"/>
      <c r="J25" s="181"/>
      <c r="K25" s="181"/>
      <c r="L25" s="181"/>
      <c r="M25" s="181"/>
      <c r="N25" s="182"/>
      <c r="O25" s="190">
        <f t="shared" si="1"/>
        <v>95.455033068280926</v>
      </c>
      <c r="P25" s="190"/>
      <c r="Q25" s="190">
        <f t="shared" si="2"/>
        <v>95.455033068280926</v>
      </c>
    </row>
    <row r="26" spans="1:17" s="132" customFormat="1" ht="12.75">
      <c r="A26" s="185" t="s">
        <v>36</v>
      </c>
      <c r="B26" s="195" t="s">
        <v>210</v>
      </c>
      <c r="C26" s="187">
        <v>4754.8990000000003</v>
      </c>
      <c r="D26" s="187"/>
      <c r="E26" s="189">
        <v>4754.8990000000003</v>
      </c>
      <c r="F26" s="187">
        <f t="shared" si="3"/>
        <v>4935.8990000000003</v>
      </c>
      <c r="G26" s="187"/>
      <c r="H26" s="189">
        <f>4731.899+169+35</f>
        <v>4935.8990000000003</v>
      </c>
      <c r="I26" s="181"/>
      <c r="J26" s="181"/>
      <c r="K26" s="181"/>
      <c r="L26" s="181"/>
      <c r="M26" s="181"/>
      <c r="N26" s="182"/>
      <c r="O26" s="190">
        <f t="shared" si="1"/>
        <v>103.80660030843978</v>
      </c>
      <c r="P26" s="190"/>
      <c r="Q26" s="190">
        <f t="shared" si="2"/>
        <v>103.80660030843978</v>
      </c>
    </row>
    <row r="27" spans="1:17" s="132" customFormat="1" ht="12.75">
      <c r="A27" s="185" t="s">
        <v>36</v>
      </c>
      <c r="B27" s="195" t="s">
        <v>211</v>
      </c>
      <c r="C27" s="187">
        <v>8609.8070000000007</v>
      </c>
      <c r="D27" s="187"/>
      <c r="E27" s="189">
        <v>8609.8070000000007</v>
      </c>
      <c r="F27" s="187">
        <f t="shared" si="3"/>
        <v>8388.5300000000007</v>
      </c>
      <c r="G27" s="187"/>
      <c r="H27" s="189">
        <f>8268.53+120</f>
        <v>8388.5300000000007</v>
      </c>
      <c r="I27" s="181"/>
      <c r="J27" s="181"/>
      <c r="K27" s="181"/>
      <c r="L27" s="181"/>
      <c r="M27" s="181"/>
      <c r="N27" s="182"/>
      <c r="O27" s="190">
        <f t="shared" si="1"/>
        <v>97.429942390113965</v>
      </c>
      <c r="P27" s="190"/>
      <c r="Q27" s="190">
        <f t="shared" si="2"/>
        <v>97.429942390113965</v>
      </c>
    </row>
    <row r="28" spans="1:17" s="132" customFormat="1" ht="12.75">
      <c r="A28" s="185" t="s">
        <v>36</v>
      </c>
      <c r="B28" s="195" t="s">
        <v>212</v>
      </c>
      <c r="C28" s="187">
        <v>4959.7299999999996</v>
      </c>
      <c r="D28" s="187"/>
      <c r="E28" s="189">
        <v>4959.7299999999996</v>
      </c>
      <c r="F28" s="187">
        <f t="shared" si="3"/>
        <v>5104.8130000000001</v>
      </c>
      <c r="G28" s="187"/>
      <c r="H28" s="189">
        <f>4818.813+197+89</f>
        <v>5104.8130000000001</v>
      </c>
      <c r="I28" s="181"/>
      <c r="J28" s="181"/>
      <c r="K28" s="181"/>
      <c r="L28" s="181"/>
      <c r="M28" s="181"/>
      <c r="N28" s="182"/>
      <c r="O28" s="190">
        <f t="shared" si="1"/>
        <v>102.92521971962185</v>
      </c>
      <c r="P28" s="190"/>
      <c r="Q28" s="190">
        <f t="shared" si="2"/>
        <v>102.92521971962185</v>
      </c>
    </row>
    <row r="29" spans="1:17" s="132" customFormat="1" ht="12.75">
      <c r="A29" s="185" t="s">
        <v>36</v>
      </c>
      <c r="B29" s="195" t="s">
        <v>213</v>
      </c>
      <c r="C29" s="187">
        <v>9032.8629999999994</v>
      </c>
      <c r="D29" s="187"/>
      <c r="E29" s="189">
        <v>9032.8629999999994</v>
      </c>
      <c r="F29" s="187">
        <f t="shared" si="3"/>
        <v>8976.61</v>
      </c>
      <c r="G29" s="187"/>
      <c r="H29" s="189">
        <f>8909.61+67</f>
        <v>8976.61</v>
      </c>
      <c r="I29" s="181"/>
      <c r="J29" s="181"/>
      <c r="K29" s="181"/>
      <c r="L29" s="181"/>
      <c r="M29" s="181"/>
      <c r="N29" s="182"/>
      <c r="O29" s="190">
        <f t="shared" si="1"/>
        <v>99.377240637879709</v>
      </c>
      <c r="P29" s="190"/>
      <c r="Q29" s="190">
        <f t="shared" si="2"/>
        <v>99.377240637879709</v>
      </c>
    </row>
    <row r="30" spans="1:17" s="132" customFormat="1" ht="12.75">
      <c r="A30" s="185" t="s">
        <v>36</v>
      </c>
      <c r="B30" s="195" t="s">
        <v>214</v>
      </c>
      <c r="C30" s="187">
        <v>5724.64</v>
      </c>
      <c r="D30" s="187"/>
      <c r="E30" s="189">
        <v>5724.64</v>
      </c>
      <c r="F30" s="187">
        <f t="shared" si="3"/>
        <v>5995.0150000000003</v>
      </c>
      <c r="G30" s="187"/>
      <c r="H30" s="189">
        <f>5720.015+275</f>
        <v>5995.0150000000003</v>
      </c>
      <c r="I30" s="181"/>
      <c r="J30" s="181"/>
      <c r="K30" s="181"/>
      <c r="L30" s="181"/>
      <c r="M30" s="181"/>
      <c r="N30" s="182"/>
      <c r="O30" s="190">
        <f t="shared" si="1"/>
        <v>104.72300441599822</v>
      </c>
      <c r="P30" s="190"/>
      <c r="Q30" s="190">
        <f t="shared" si="2"/>
        <v>104.72300441599822</v>
      </c>
    </row>
    <row r="31" spans="1:17" s="132" customFormat="1" ht="12.75">
      <c r="A31" s="185" t="s">
        <v>36</v>
      </c>
      <c r="B31" s="195" t="s">
        <v>215</v>
      </c>
      <c r="C31" s="187">
        <v>8515.4169999999995</v>
      </c>
      <c r="D31" s="187"/>
      <c r="E31" s="189">
        <v>8515.4169999999995</v>
      </c>
      <c r="F31" s="187">
        <f t="shared" si="3"/>
        <v>8854.0149999999994</v>
      </c>
      <c r="G31" s="187"/>
      <c r="H31" s="189">
        <f>8585.015+269</f>
        <v>8854.0149999999994</v>
      </c>
      <c r="I31" s="181"/>
      <c r="J31" s="181"/>
      <c r="K31" s="181"/>
      <c r="L31" s="181"/>
      <c r="M31" s="181"/>
      <c r="N31" s="182"/>
      <c r="O31" s="190">
        <f t="shared" si="1"/>
        <v>103.97629382096028</v>
      </c>
      <c r="P31" s="190"/>
      <c r="Q31" s="190">
        <f t="shared" si="2"/>
        <v>103.97629382096028</v>
      </c>
    </row>
    <row r="32" spans="1:17" s="132" customFormat="1" ht="12.75">
      <c r="A32" s="185" t="s">
        <v>36</v>
      </c>
      <c r="B32" s="195" t="s">
        <v>216</v>
      </c>
      <c r="C32" s="187">
        <v>6510.7250000000004</v>
      </c>
      <c r="D32" s="187"/>
      <c r="E32" s="189">
        <v>6510.7250000000004</v>
      </c>
      <c r="F32" s="187">
        <f t="shared" si="3"/>
        <v>6521.7250000000004</v>
      </c>
      <c r="G32" s="187"/>
      <c r="H32" s="189">
        <f>6478.725+43</f>
        <v>6521.7250000000004</v>
      </c>
      <c r="I32" s="181"/>
      <c r="J32" s="181"/>
      <c r="K32" s="181"/>
      <c r="L32" s="181"/>
      <c r="M32" s="181"/>
      <c r="N32" s="182"/>
      <c r="O32" s="190">
        <f t="shared" si="1"/>
        <v>100.16895199843336</v>
      </c>
      <c r="P32" s="190"/>
      <c r="Q32" s="190">
        <f t="shared" si="2"/>
        <v>100.16895199843336</v>
      </c>
    </row>
    <row r="33" spans="1:17" s="132" customFormat="1" ht="12.75">
      <c r="A33" s="185" t="s">
        <v>36</v>
      </c>
      <c r="B33" s="195" t="s">
        <v>217</v>
      </c>
      <c r="C33" s="187">
        <v>6947.9170000000004</v>
      </c>
      <c r="D33" s="187"/>
      <c r="E33" s="189">
        <v>6947.9170000000004</v>
      </c>
      <c r="F33" s="187">
        <f t="shared" si="3"/>
        <v>7166.3239999999996</v>
      </c>
      <c r="G33" s="187"/>
      <c r="H33" s="189">
        <f>7117.324+49</f>
        <v>7166.3239999999996</v>
      </c>
      <c r="I33" s="181"/>
      <c r="J33" s="181"/>
      <c r="K33" s="181"/>
      <c r="L33" s="181"/>
      <c r="M33" s="181"/>
      <c r="N33" s="182"/>
      <c r="O33" s="190">
        <f t="shared" si="1"/>
        <v>103.14348890466019</v>
      </c>
      <c r="P33" s="190"/>
      <c r="Q33" s="190">
        <f t="shared" si="2"/>
        <v>103.14348890466019</v>
      </c>
    </row>
    <row r="34" spans="1:17" s="132" customFormat="1" ht="12.75">
      <c r="A34" s="185" t="s">
        <v>36</v>
      </c>
      <c r="B34" s="195" t="s">
        <v>218</v>
      </c>
      <c r="C34" s="187">
        <v>4711.8879999999999</v>
      </c>
      <c r="D34" s="187"/>
      <c r="E34" s="189">
        <v>4711.8879999999999</v>
      </c>
      <c r="F34" s="187">
        <f t="shared" si="3"/>
        <v>4834.665</v>
      </c>
      <c r="G34" s="187"/>
      <c r="H34" s="189">
        <f>4627.665+207</f>
        <v>4834.665</v>
      </c>
      <c r="I34" s="181"/>
      <c r="J34" s="181"/>
      <c r="K34" s="181"/>
      <c r="L34" s="181"/>
      <c r="M34" s="181"/>
      <c r="N34" s="182"/>
      <c r="O34" s="190">
        <f t="shared" si="1"/>
        <v>102.60568587368799</v>
      </c>
      <c r="P34" s="190"/>
      <c r="Q34" s="190">
        <f t="shared" si="2"/>
        <v>102.60568587368799</v>
      </c>
    </row>
    <row r="35" spans="1:17" s="132" customFormat="1" ht="12.75">
      <c r="A35" s="185" t="s">
        <v>36</v>
      </c>
      <c r="B35" s="195" t="s">
        <v>219</v>
      </c>
      <c r="C35" s="187">
        <v>4203.0720000000001</v>
      </c>
      <c r="D35" s="187"/>
      <c r="E35" s="189">
        <v>4203.0720000000001</v>
      </c>
      <c r="F35" s="187">
        <f t="shared" si="3"/>
        <v>4398.0720000000001</v>
      </c>
      <c r="G35" s="187"/>
      <c r="H35" s="189">
        <f>4210.072+188</f>
        <v>4398.0720000000001</v>
      </c>
      <c r="I35" s="181"/>
      <c r="J35" s="181"/>
      <c r="K35" s="181"/>
      <c r="L35" s="181"/>
      <c r="M35" s="181"/>
      <c r="N35" s="182"/>
      <c r="O35" s="190">
        <f t="shared" si="1"/>
        <v>104.63946370654607</v>
      </c>
      <c r="P35" s="190"/>
      <c r="Q35" s="190">
        <f t="shared" si="2"/>
        <v>104.63946370654607</v>
      </c>
    </row>
    <row r="36" spans="1:17" s="132" customFormat="1" ht="12.75">
      <c r="A36" s="185" t="s">
        <v>36</v>
      </c>
      <c r="B36" s="195" t="s">
        <v>220</v>
      </c>
      <c r="C36" s="187">
        <v>12908.082</v>
      </c>
      <c r="D36" s="187"/>
      <c r="E36" s="189">
        <v>12908.082</v>
      </c>
      <c r="F36" s="187">
        <f t="shared" si="3"/>
        <v>12430.101000000001</v>
      </c>
      <c r="G36" s="187"/>
      <c r="H36" s="189">
        <v>12430.101000000001</v>
      </c>
      <c r="I36" s="181"/>
      <c r="J36" s="181"/>
      <c r="K36" s="181"/>
      <c r="L36" s="181"/>
      <c r="M36" s="181"/>
      <c r="N36" s="182"/>
      <c r="O36" s="190">
        <f t="shared" si="1"/>
        <v>96.297040877180677</v>
      </c>
      <c r="P36" s="190"/>
      <c r="Q36" s="190">
        <f t="shared" si="2"/>
        <v>96.297040877180677</v>
      </c>
    </row>
    <row r="37" spans="1:17" s="132" customFormat="1" ht="12.75">
      <c r="A37" s="185" t="s">
        <v>36</v>
      </c>
      <c r="B37" s="195" t="s">
        <v>221</v>
      </c>
      <c r="C37" s="187">
        <v>6873.41</v>
      </c>
      <c r="D37" s="187"/>
      <c r="E37" s="189">
        <v>6873.41</v>
      </c>
      <c r="F37" s="187">
        <f t="shared" si="3"/>
        <v>6659.5990000000002</v>
      </c>
      <c r="G37" s="187"/>
      <c r="H37" s="189">
        <v>6659.5990000000002</v>
      </c>
      <c r="I37" s="181"/>
      <c r="J37" s="181"/>
      <c r="K37" s="181"/>
      <c r="L37" s="181"/>
      <c r="M37" s="181"/>
      <c r="N37" s="182"/>
      <c r="O37" s="190">
        <f t="shared" si="1"/>
        <v>96.889302398663844</v>
      </c>
      <c r="P37" s="190"/>
      <c r="Q37" s="190">
        <f t="shared" si="2"/>
        <v>96.889302398663844</v>
      </c>
    </row>
    <row r="38" spans="1:17" s="132" customFormat="1" ht="12.75">
      <c r="A38" s="185" t="s">
        <v>36</v>
      </c>
      <c r="B38" s="195" t="s">
        <v>222</v>
      </c>
      <c r="C38" s="187">
        <v>8280.143</v>
      </c>
      <c r="D38" s="187"/>
      <c r="E38" s="189">
        <v>8280.143</v>
      </c>
      <c r="F38" s="187">
        <f t="shared" si="3"/>
        <v>8079.39</v>
      </c>
      <c r="G38" s="187"/>
      <c r="H38" s="189">
        <v>8079.39</v>
      </c>
      <c r="I38" s="181"/>
      <c r="J38" s="181"/>
      <c r="K38" s="181"/>
      <c r="L38" s="181"/>
      <c r="M38" s="181"/>
      <c r="N38" s="182"/>
      <c r="O38" s="190">
        <f t="shared" si="1"/>
        <v>97.575488732501356</v>
      </c>
      <c r="P38" s="190"/>
      <c r="Q38" s="190">
        <f t="shared" si="2"/>
        <v>97.575488732501356</v>
      </c>
    </row>
    <row r="39" spans="1:17" s="132" customFormat="1" ht="12.75">
      <c r="A39" s="185" t="s">
        <v>36</v>
      </c>
      <c r="B39" s="195" t="s">
        <v>223</v>
      </c>
      <c r="C39" s="187">
        <v>9764.8209999999999</v>
      </c>
      <c r="D39" s="187"/>
      <c r="E39" s="189">
        <v>9764.8209999999999</v>
      </c>
      <c r="F39" s="187">
        <f t="shared" si="3"/>
        <v>9845.5810000000001</v>
      </c>
      <c r="G39" s="187"/>
      <c r="H39" s="189">
        <f>9526.581+136+183</f>
        <v>9845.5810000000001</v>
      </c>
      <c r="I39" s="181"/>
      <c r="J39" s="181"/>
      <c r="K39" s="181"/>
      <c r="L39" s="181"/>
      <c r="M39" s="181"/>
      <c r="N39" s="182"/>
      <c r="O39" s="190">
        <f t="shared" si="1"/>
        <v>100.82705049073608</v>
      </c>
      <c r="P39" s="190"/>
      <c r="Q39" s="190">
        <f t="shared" si="2"/>
        <v>100.82705049073608</v>
      </c>
    </row>
    <row r="40" spans="1:17" s="132" customFormat="1" ht="12.75">
      <c r="A40" s="185" t="s">
        <v>36</v>
      </c>
      <c r="B40" s="195" t="s">
        <v>224</v>
      </c>
      <c r="C40" s="187">
        <v>5833.4809999999998</v>
      </c>
      <c r="D40" s="187"/>
      <c r="E40" s="189">
        <v>5833.4809999999998</v>
      </c>
      <c r="F40" s="187">
        <f t="shared" si="3"/>
        <v>5831.4030000000002</v>
      </c>
      <c r="G40" s="187"/>
      <c r="H40" s="189">
        <f>5757.403+74</f>
        <v>5831.4030000000002</v>
      </c>
      <c r="I40" s="181"/>
      <c r="J40" s="181"/>
      <c r="K40" s="181"/>
      <c r="L40" s="181"/>
      <c r="M40" s="181"/>
      <c r="N40" s="182"/>
      <c r="O40" s="190">
        <f t="shared" si="1"/>
        <v>99.964378044601503</v>
      </c>
      <c r="P40" s="190"/>
      <c r="Q40" s="190">
        <f t="shared" si="2"/>
        <v>99.964378044601503</v>
      </c>
    </row>
    <row r="41" spans="1:17" s="132" customFormat="1" ht="12.75">
      <c r="A41" s="185" t="s">
        <v>36</v>
      </c>
      <c r="B41" s="195" t="s">
        <v>225</v>
      </c>
      <c r="C41" s="187">
        <v>6545.3289999999997</v>
      </c>
      <c r="D41" s="187"/>
      <c r="E41" s="189">
        <v>6545.3289999999997</v>
      </c>
      <c r="F41" s="187">
        <f t="shared" si="3"/>
        <v>6724.04</v>
      </c>
      <c r="G41" s="187"/>
      <c r="H41" s="189">
        <f>6712.04+12</f>
        <v>6724.04</v>
      </c>
      <c r="I41" s="181"/>
      <c r="J41" s="181"/>
      <c r="K41" s="181"/>
      <c r="L41" s="181"/>
      <c r="M41" s="181"/>
      <c r="N41" s="182"/>
      <c r="O41" s="190">
        <f t="shared" si="1"/>
        <v>102.73035931425296</v>
      </c>
      <c r="P41" s="190"/>
      <c r="Q41" s="190">
        <f t="shared" si="2"/>
        <v>102.73035931425296</v>
      </c>
    </row>
    <row r="42" spans="1:17" s="132" customFormat="1" ht="12.75">
      <c r="A42" s="185" t="s">
        <v>36</v>
      </c>
      <c r="B42" s="195" t="s">
        <v>226</v>
      </c>
      <c r="C42" s="187">
        <v>8897.0249999999996</v>
      </c>
      <c r="D42" s="187"/>
      <c r="E42" s="189">
        <v>8897.0249999999996</v>
      </c>
      <c r="F42" s="187">
        <f t="shared" si="3"/>
        <v>8488.1830000000009</v>
      </c>
      <c r="G42" s="187"/>
      <c r="H42" s="189">
        <v>8488.1830000000009</v>
      </c>
      <c r="I42" s="181"/>
      <c r="J42" s="181"/>
      <c r="K42" s="181"/>
      <c r="L42" s="181"/>
      <c r="M42" s="181"/>
      <c r="N42" s="182"/>
      <c r="O42" s="190">
        <f t="shared" si="1"/>
        <v>95.404733604772389</v>
      </c>
      <c r="P42" s="190"/>
      <c r="Q42" s="190">
        <f t="shared" si="2"/>
        <v>95.404733604772389</v>
      </c>
    </row>
    <row r="43" spans="1:17" s="132" customFormat="1" ht="12.75">
      <c r="A43" s="185" t="s">
        <v>36</v>
      </c>
      <c r="B43" s="195" t="s">
        <v>227</v>
      </c>
      <c r="C43" s="187">
        <v>8814.6080000000002</v>
      </c>
      <c r="D43" s="187"/>
      <c r="E43" s="189">
        <v>8814.6080000000002</v>
      </c>
      <c r="F43" s="187">
        <f t="shared" si="3"/>
        <v>8700.4750000000004</v>
      </c>
      <c r="G43" s="187"/>
      <c r="H43" s="189">
        <f>8485.475+215</f>
        <v>8700.4750000000004</v>
      </c>
      <c r="I43" s="181"/>
      <c r="J43" s="181"/>
      <c r="K43" s="181"/>
      <c r="L43" s="181"/>
      <c r="M43" s="181"/>
      <c r="N43" s="182"/>
      <c r="O43" s="190">
        <f t="shared" si="1"/>
        <v>98.705183486321801</v>
      </c>
      <c r="P43" s="190"/>
      <c r="Q43" s="190">
        <f t="shared" si="2"/>
        <v>98.705183486321801</v>
      </c>
    </row>
    <row r="44" spans="1:17" s="132" customFormat="1" ht="12.75">
      <c r="A44" s="185" t="s">
        <v>36</v>
      </c>
      <c r="B44" s="195" t="s">
        <v>228</v>
      </c>
      <c r="C44" s="187">
        <v>7060.5429999999997</v>
      </c>
      <c r="D44" s="187"/>
      <c r="E44" s="189">
        <v>7060.5429999999997</v>
      </c>
      <c r="F44" s="187">
        <f t="shared" si="3"/>
        <v>6812.4350000000004</v>
      </c>
      <c r="G44" s="187"/>
      <c r="H44" s="189">
        <f>6773.435+39</f>
        <v>6812.4350000000004</v>
      </c>
      <c r="I44" s="181"/>
      <c r="J44" s="181"/>
      <c r="K44" s="181"/>
      <c r="L44" s="181"/>
      <c r="M44" s="181"/>
      <c r="N44" s="182"/>
      <c r="O44" s="190">
        <f t="shared" si="1"/>
        <v>96.485992649573845</v>
      </c>
      <c r="P44" s="190"/>
      <c r="Q44" s="190">
        <f t="shared" si="2"/>
        <v>96.485992649573845</v>
      </c>
    </row>
    <row r="45" spans="1:17" s="132" customFormat="1" ht="12.75">
      <c r="A45" s="185" t="s">
        <v>36</v>
      </c>
      <c r="B45" s="195" t="s">
        <v>229</v>
      </c>
      <c r="C45" s="187">
        <v>8668.1039999999994</v>
      </c>
      <c r="D45" s="187"/>
      <c r="E45" s="189">
        <v>8668.1039999999994</v>
      </c>
      <c r="F45" s="187">
        <f t="shared" si="3"/>
        <v>10004.19</v>
      </c>
      <c r="G45" s="187"/>
      <c r="H45" s="189">
        <f>8227.19+1359+418</f>
        <v>10004.19</v>
      </c>
      <c r="I45" s="181"/>
      <c r="J45" s="181"/>
      <c r="K45" s="181"/>
      <c r="L45" s="181"/>
      <c r="M45" s="181"/>
      <c r="N45" s="182"/>
      <c r="O45" s="190">
        <f t="shared" si="1"/>
        <v>115.41382060021432</v>
      </c>
      <c r="P45" s="190"/>
      <c r="Q45" s="190">
        <f t="shared" si="2"/>
        <v>115.41382060021432</v>
      </c>
    </row>
    <row r="46" spans="1:17" s="132" customFormat="1" ht="12.75">
      <c r="A46" s="185" t="s">
        <v>36</v>
      </c>
      <c r="B46" s="195" t="s">
        <v>230</v>
      </c>
      <c r="C46" s="187">
        <v>8688.6460000000006</v>
      </c>
      <c r="D46" s="187"/>
      <c r="E46" s="189">
        <v>8688.6460000000006</v>
      </c>
      <c r="F46" s="187">
        <f t="shared" si="3"/>
        <v>8654.7870000000003</v>
      </c>
      <c r="G46" s="187"/>
      <c r="H46" s="189">
        <f>8586.787+68</f>
        <v>8654.7870000000003</v>
      </c>
      <c r="I46" s="181"/>
      <c r="J46" s="181"/>
      <c r="K46" s="181"/>
      <c r="L46" s="181"/>
      <c r="M46" s="181"/>
      <c r="N46" s="182"/>
      <c r="O46" s="190">
        <f t="shared" si="1"/>
        <v>99.610307520872638</v>
      </c>
      <c r="P46" s="190"/>
      <c r="Q46" s="190">
        <f t="shared" si="2"/>
        <v>99.610307520872638</v>
      </c>
    </row>
    <row r="47" spans="1:17" s="132" customFormat="1" ht="12.75">
      <c r="A47" s="185" t="s">
        <v>36</v>
      </c>
      <c r="B47" s="195" t="s">
        <v>231</v>
      </c>
      <c r="C47" s="187">
        <v>10571.11</v>
      </c>
      <c r="D47" s="187"/>
      <c r="E47" s="189">
        <v>10571.11</v>
      </c>
      <c r="F47" s="187">
        <f t="shared" si="3"/>
        <v>10821.251</v>
      </c>
      <c r="G47" s="187"/>
      <c r="H47" s="189">
        <f>10471.251+106+244</f>
        <v>10821.251</v>
      </c>
      <c r="I47" s="181"/>
      <c r="J47" s="181"/>
      <c r="K47" s="181"/>
      <c r="L47" s="181"/>
      <c r="M47" s="181"/>
      <c r="N47" s="182"/>
      <c r="O47" s="190">
        <f t="shared" si="1"/>
        <v>102.36626995651355</v>
      </c>
      <c r="P47" s="190"/>
      <c r="Q47" s="190">
        <f t="shared" si="2"/>
        <v>102.36626995651355</v>
      </c>
    </row>
    <row r="48" spans="1:17" s="132" customFormat="1" ht="12.75">
      <c r="A48" s="185" t="s">
        <v>36</v>
      </c>
      <c r="B48" s="195" t="s">
        <v>232</v>
      </c>
      <c r="C48" s="187">
        <v>5184.7690000000002</v>
      </c>
      <c r="D48" s="187"/>
      <c r="E48" s="189">
        <v>5184.7690000000002</v>
      </c>
      <c r="F48" s="187">
        <f t="shared" si="3"/>
        <v>4954.3810000000003</v>
      </c>
      <c r="G48" s="187"/>
      <c r="H48" s="189">
        <v>4954.3810000000003</v>
      </c>
      <c r="I48" s="181"/>
      <c r="J48" s="181"/>
      <c r="K48" s="181"/>
      <c r="L48" s="181"/>
      <c r="M48" s="181"/>
      <c r="N48" s="182"/>
      <c r="O48" s="190">
        <f t="shared" si="1"/>
        <v>95.556446198470951</v>
      </c>
      <c r="P48" s="190"/>
      <c r="Q48" s="190">
        <f t="shared" si="2"/>
        <v>95.556446198470951</v>
      </c>
    </row>
    <row r="49" spans="1:17" s="132" customFormat="1" ht="12.75">
      <c r="A49" s="185" t="s">
        <v>36</v>
      </c>
      <c r="B49" s="195" t="s">
        <v>233</v>
      </c>
      <c r="C49" s="187">
        <v>6327.8109999999997</v>
      </c>
      <c r="D49" s="187"/>
      <c r="E49" s="189">
        <v>6327.8109999999997</v>
      </c>
      <c r="F49" s="187">
        <f t="shared" si="3"/>
        <v>6216.7860000000001</v>
      </c>
      <c r="G49" s="187"/>
      <c r="H49" s="189">
        <v>6216.7860000000001</v>
      </c>
      <c r="I49" s="181"/>
      <c r="J49" s="181"/>
      <c r="K49" s="181"/>
      <c r="L49" s="181"/>
      <c r="M49" s="181"/>
      <c r="N49" s="182"/>
      <c r="O49" s="190">
        <f t="shared" si="1"/>
        <v>98.245443803552291</v>
      </c>
      <c r="P49" s="190"/>
      <c r="Q49" s="190">
        <f t="shared" si="2"/>
        <v>98.245443803552291</v>
      </c>
    </row>
    <row r="50" spans="1:17" s="132" customFormat="1" ht="12.75">
      <c r="A50" s="185" t="s">
        <v>36</v>
      </c>
      <c r="B50" s="195" t="s">
        <v>234</v>
      </c>
      <c r="C50" s="187">
        <v>7070.1319999999996</v>
      </c>
      <c r="D50" s="187"/>
      <c r="E50" s="189">
        <v>7070.1319999999996</v>
      </c>
      <c r="F50" s="187">
        <f t="shared" si="3"/>
        <v>7063.3519999999999</v>
      </c>
      <c r="G50" s="187"/>
      <c r="H50" s="189">
        <v>7063.3519999999999</v>
      </c>
      <c r="I50" s="181"/>
      <c r="J50" s="181"/>
      <c r="K50" s="181"/>
      <c r="L50" s="181"/>
      <c r="M50" s="181"/>
      <c r="N50" s="182"/>
      <c r="O50" s="190">
        <f t="shared" si="1"/>
        <v>99.9041036291826</v>
      </c>
      <c r="P50" s="190"/>
      <c r="Q50" s="190">
        <f t="shared" si="2"/>
        <v>99.9041036291826</v>
      </c>
    </row>
    <row r="51" spans="1:17" s="132" customFormat="1" ht="12.75">
      <c r="A51" s="185" t="s">
        <v>36</v>
      </c>
      <c r="B51" s="195" t="s">
        <v>235</v>
      </c>
      <c r="C51" s="187">
        <v>4519.4059999999999</v>
      </c>
      <c r="D51" s="187"/>
      <c r="E51" s="189">
        <v>4519.4059999999999</v>
      </c>
      <c r="F51" s="187">
        <f t="shared" si="3"/>
        <v>4539.9709999999995</v>
      </c>
      <c r="G51" s="187"/>
      <c r="H51" s="189">
        <f>4420.971+119</f>
        <v>4539.9709999999995</v>
      </c>
      <c r="I51" s="181"/>
      <c r="J51" s="181"/>
      <c r="K51" s="181"/>
      <c r="L51" s="181"/>
      <c r="M51" s="181"/>
      <c r="N51" s="182"/>
      <c r="O51" s="190">
        <f t="shared" si="1"/>
        <v>100.45503767530511</v>
      </c>
      <c r="P51" s="190"/>
      <c r="Q51" s="190">
        <f t="shared" si="2"/>
        <v>100.45503767530511</v>
      </c>
    </row>
    <row r="52" spans="1:17" s="132" customFormat="1" ht="12.75">
      <c r="A52" s="185" t="s">
        <v>36</v>
      </c>
      <c r="B52" s="195" t="s">
        <v>236</v>
      </c>
      <c r="C52" s="187">
        <v>9102.0419999999995</v>
      </c>
      <c r="D52" s="187"/>
      <c r="E52" s="189">
        <v>9102.0419999999995</v>
      </c>
      <c r="F52" s="187">
        <f t="shared" si="3"/>
        <v>9005.5319999999992</v>
      </c>
      <c r="G52" s="187"/>
      <c r="H52" s="189">
        <f>8846.532+159</f>
        <v>9005.5319999999992</v>
      </c>
      <c r="I52" s="181"/>
      <c r="J52" s="181"/>
      <c r="K52" s="181"/>
      <c r="L52" s="181"/>
      <c r="M52" s="181"/>
      <c r="N52" s="182"/>
      <c r="O52" s="190">
        <f t="shared" si="1"/>
        <v>98.939688478695217</v>
      </c>
      <c r="P52" s="190"/>
      <c r="Q52" s="190">
        <f t="shared" si="2"/>
        <v>98.939688478695217</v>
      </c>
    </row>
    <row r="53" spans="1:17" s="132" customFormat="1" ht="12.75">
      <c r="A53" s="185" t="s">
        <v>36</v>
      </c>
      <c r="B53" s="195" t="s">
        <v>237</v>
      </c>
      <c r="C53" s="187">
        <v>8834.3349999999991</v>
      </c>
      <c r="D53" s="187"/>
      <c r="E53" s="189">
        <v>8834.3349999999991</v>
      </c>
      <c r="F53" s="187">
        <f t="shared" si="3"/>
        <v>8240.887999999999</v>
      </c>
      <c r="G53" s="187"/>
      <c r="H53" s="189">
        <f>7935.888+305</f>
        <v>8240.887999999999</v>
      </c>
      <c r="I53" s="181"/>
      <c r="J53" s="181"/>
      <c r="K53" s="181"/>
      <c r="L53" s="181"/>
      <c r="M53" s="181"/>
      <c r="N53" s="182"/>
      <c r="O53" s="190">
        <f t="shared" si="1"/>
        <v>93.28249381532396</v>
      </c>
      <c r="P53" s="190"/>
      <c r="Q53" s="190">
        <f t="shared" si="2"/>
        <v>93.28249381532396</v>
      </c>
    </row>
    <row r="54" spans="1:17" s="132" customFormat="1" ht="12.75">
      <c r="A54" s="185" t="s">
        <v>36</v>
      </c>
      <c r="B54" s="195" t="s">
        <v>238</v>
      </c>
      <c r="C54" s="187">
        <v>6240.5129999999999</v>
      </c>
      <c r="D54" s="187"/>
      <c r="E54" s="189">
        <v>6240.5129999999999</v>
      </c>
      <c r="F54" s="187">
        <f t="shared" si="3"/>
        <v>5391.6760000000004</v>
      </c>
      <c r="G54" s="187"/>
      <c r="H54" s="189">
        <v>5391.6760000000004</v>
      </c>
      <c r="I54" s="181"/>
      <c r="J54" s="181"/>
      <c r="K54" s="181"/>
      <c r="L54" s="181"/>
      <c r="M54" s="181"/>
      <c r="N54" s="182"/>
      <c r="O54" s="190">
        <f t="shared" si="1"/>
        <v>86.397961193254474</v>
      </c>
      <c r="P54" s="190"/>
      <c r="Q54" s="190">
        <f t="shared" si="2"/>
        <v>86.397961193254474</v>
      </c>
    </row>
    <row r="55" spans="1:17" s="132" customFormat="1" ht="12.75">
      <c r="A55" s="185" t="s">
        <v>36</v>
      </c>
      <c r="B55" s="195" t="s">
        <v>239</v>
      </c>
      <c r="C55" s="187">
        <v>14073.907999999999</v>
      </c>
      <c r="D55" s="187"/>
      <c r="E55" s="189">
        <v>14073.907999999999</v>
      </c>
      <c r="F55" s="187">
        <f t="shared" si="3"/>
        <v>13958.65</v>
      </c>
      <c r="G55" s="187"/>
      <c r="H55" s="189">
        <f>13836.65+122</f>
        <v>13958.65</v>
      </c>
      <c r="I55" s="181"/>
      <c r="J55" s="181"/>
      <c r="K55" s="181"/>
      <c r="L55" s="181"/>
      <c r="M55" s="181"/>
      <c r="N55" s="182"/>
      <c r="O55" s="190">
        <f t="shared" si="1"/>
        <v>99.181051915359973</v>
      </c>
      <c r="P55" s="190"/>
      <c r="Q55" s="190">
        <f t="shared" si="2"/>
        <v>99.181051915359973</v>
      </c>
    </row>
    <row r="56" spans="1:17" s="132" customFormat="1" ht="12.75">
      <c r="A56" s="185" t="s">
        <v>36</v>
      </c>
      <c r="B56" s="195" t="s">
        <v>240</v>
      </c>
      <c r="C56" s="187">
        <v>8528.6360000000004</v>
      </c>
      <c r="D56" s="187"/>
      <c r="E56" s="189">
        <v>8528.6360000000004</v>
      </c>
      <c r="F56" s="187">
        <f t="shared" si="3"/>
        <v>8303.1540000000005</v>
      </c>
      <c r="G56" s="187"/>
      <c r="H56" s="189">
        <v>8303.1540000000005</v>
      </c>
      <c r="I56" s="181"/>
      <c r="J56" s="181"/>
      <c r="K56" s="181"/>
      <c r="L56" s="181"/>
      <c r="M56" s="181"/>
      <c r="N56" s="182"/>
      <c r="O56" s="190">
        <f t="shared" si="1"/>
        <v>97.356177470817144</v>
      </c>
      <c r="P56" s="190"/>
      <c r="Q56" s="190">
        <f t="shared" si="2"/>
        <v>97.356177470817144</v>
      </c>
    </row>
    <row r="57" spans="1:17" s="132" customFormat="1" ht="12.75">
      <c r="A57" s="185" t="s">
        <v>36</v>
      </c>
      <c r="B57" s="195" t="s">
        <v>241</v>
      </c>
      <c r="C57" s="187">
        <v>5353.652</v>
      </c>
      <c r="D57" s="187"/>
      <c r="E57" s="189">
        <v>5353.652</v>
      </c>
      <c r="F57" s="187">
        <f t="shared" si="3"/>
        <v>5271.2520000000004</v>
      </c>
      <c r="G57" s="187"/>
      <c r="H57" s="189">
        <f>5260.252+11</f>
        <v>5271.2520000000004</v>
      </c>
      <c r="I57" s="181"/>
      <c r="J57" s="181"/>
      <c r="K57" s="181"/>
      <c r="L57" s="181"/>
      <c r="M57" s="181"/>
      <c r="N57" s="182"/>
      <c r="O57" s="190">
        <f t="shared" si="1"/>
        <v>98.460863724425877</v>
      </c>
      <c r="P57" s="190"/>
      <c r="Q57" s="190">
        <f t="shared" si="2"/>
        <v>98.460863724425877</v>
      </c>
    </row>
    <row r="58" spans="1:17" s="132" customFormat="1" ht="12.75">
      <c r="A58" s="185" t="s">
        <v>36</v>
      </c>
      <c r="B58" s="195" t="s">
        <v>242</v>
      </c>
      <c r="C58" s="187">
        <v>13600.151</v>
      </c>
      <c r="D58" s="187"/>
      <c r="E58" s="189">
        <v>13600.151</v>
      </c>
      <c r="F58" s="187">
        <f t="shared" si="3"/>
        <v>13357.380999999999</v>
      </c>
      <c r="G58" s="187"/>
      <c r="H58" s="189">
        <v>13357.380999999999</v>
      </c>
      <c r="I58" s="181"/>
      <c r="J58" s="181"/>
      <c r="K58" s="181"/>
      <c r="L58" s="181"/>
      <c r="M58" s="181"/>
      <c r="N58" s="182"/>
      <c r="O58" s="190">
        <f t="shared" si="1"/>
        <v>98.214946289934574</v>
      </c>
      <c r="P58" s="190"/>
      <c r="Q58" s="190">
        <f t="shared" si="2"/>
        <v>98.214946289934574</v>
      </c>
    </row>
    <row r="59" spans="1:17" s="132" customFormat="1" ht="12.75">
      <c r="A59" s="185" t="s">
        <v>36</v>
      </c>
      <c r="B59" s="195" t="s">
        <v>243</v>
      </c>
      <c r="C59" s="187">
        <v>5685.1270000000004</v>
      </c>
      <c r="D59" s="187"/>
      <c r="E59" s="189">
        <v>5685.1270000000004</v>
      </c>
      <c r="F59" s="187">
        <f t="shared" si="3"/>
        <v>5909.8270000000002</v>
      </c>
      <c r="G59" s="187"/>
      <c r="H59" s="189">
        <f>5542.827+367</f>
        <v>5909.8270000000002</v>
      </c>
      <c r="I59" s="181"/>
      <c r="J59" s="181"/>
      <c r="K59" s="181"/>
      <c r="L59" s="181"/>
      <c r="M59" s="181"/>
      <c r="N59" s="182"/>
      <c r="O59" s="190">
        <f t="shared" si="1"/>
        <v>103.9524183012974</v>
      </c>
      <c r="P59" s="190"/>
      <c r="Q59" s="190">
        <f t="shared" si="2"/>
        <v>103.9524183012974</v>
      </c>
    </row>
    <row r="60" spans="1:17" s="132" customFormat="1" ht="12.75">
      <c r="A60" s="185" t="s">
        <v>36</v>
      </c>
      <c r="B60" s="195" t="s">
        <v>244</v>
      </c>
      <c r="C60" s="187">
        <v>11237.023999999999</v>
      </c>
      <c r="D60" s="187"/>
      <c r="E60" s="189">
        <v>11237.023999999999</v>
      </c>
      <c r="F60" s="187">
        <f t="shared" si="3"/>
        <v>11172.179</v>
      </c>
      <c r="G60" s="187"/>
      <c r="H60" s="189">
        <v>11172.179</v>
      </c>
      <c r="I60" s="181"/>
      <c r="J60" s="181"/>
      <c r="K60" s="181"/>
      <c r="L60" s="181"/>
      <c r="M60" s="181"/>
      <c r="N60" s="182"/>
      <c r="O60" s="190">
        <f t="shared" si="1"/>
        <v>99.422934399712958</v>
      </c>
      <c r="P60" s="190"/>
      <c r="Q60" s="190">
        <f t="shared" si="2"/>
        <v>99.422934399712958</v>
      </c>
    </row>
    <row r="61" spans="1:17" s="132" customFormat="1" ht="12.75">
      <c r="A61" s="185" t="s">
        <v>36</v>
      </c>
      <c r="B61" s="195" t="s">
        <v>245</v>
      </c>
      <c r="C61" s="187">
        <v>9848.57</v>
      </c>
      <c r="D61" s="187"/>
      <c r="E61" s="189">
        <v>9848.57</v>
      </c>
      <c r="F61" s="187">
        <f t="shared" si="3"/>
        <v>10110.151</v>
      </c>
      <c r="G61" s="187"/>
      <c r="H61" s="189">
        <f>9675.151+435</f>
        <v>10110.151</v>
      </c>
      <c r="I61" s="181"/>
      <c r="J61" s="181"/>
      <c r="K61" s="181"/>
      <c r="L61" s="181"/>
      <c r="M61" s="181"/>
      <c r="N61" s="182"/>
      <c r="O61" s="190">
        <f t="shared" si="1"/>
        <v>102.65603026632293</v>
      </c>
      <c r="P61" s="190"/>
      <c r="Q61" s="190">
        <f t="shared" si="2"/>
        <v>102.65603026632293</v>
      </c>
    </row>
    <row r="62" spans="1:17" s="132" customFormat="1" ht="12.75">
      <c r="A62" s="185" t="s">
        <v>36</v>
      </c>
      <c r="B62" s="195" t="s">
        <v>246</v>
      </c>
      <c r="C62" s="187">
        <v>11558.444</v>
      </c>
      <c r="D62" s="187"/>
      <c r="E62" s="189">
        <v>11558.444</v>
      </c>
      <c r="F62" s="187">
        <f t="shared" si="3"/>
        <v>11222.065000000001</v>
      </c>
      <c r="G62" s="187"/>
      <c r="H62" s="189">
        <v>11222.065000000001</v>
      </c>
      <c r="I62" s="181"/>
      <c r="J62" s="181"/>
      <c r="K62" s="181"/>
      <c r="L62" s="181"/>
      <c r="M62" s="181"/>
      <c r="N62" s="182"/>
      <c r="O62" s="190">
        <f t="shared" si="1"/>
        <v>97.089755333849453</v>
      </c>
      <c r="P62" s="190"/>
      <c r="Q62" s="190">
        <f t="shared" si="2"/>
        <v>97.089755333849453</v>
      </c>
    </row>
    <row r="63" spans="1:17" s="132" customFormat="1" ht="12.75">
      <c r="A63" s="185" t="s">
        <v>36</v>
      </c>
      <c r="B63" s="195" t="s">
        <v>247</v>
      </c>
      <c r="C63" s="187">
        <v>8286.0490000000009</v>
      </c>
      <c r="D63" s="187"/>
      <c r="E63" s="189">
        <v>8286.0490000000009</v>
      </c>
      <c r="F63" s="187">
        <f t="shared" si="3"/>
        <v>8019.6170000000002</v>
      </c>
      <c r="G63" s="187"/>
      <c r="H63" s="189">
        <v>8019.6170000000002</v>
      </c>
      <c r="I63" s="181"/>
      <c r="J63" s="181"/>
      <c r="K63" s="181"/>
      <c r="L63" s="181"/>
      <c r="M63" s="181"/>
      <c r="N63" s="182"/>
      <c r="O63" s="190">
        <f t="shared" si="1"/>
        <v>96.784571271543285</v>
      </c>
      <c r="P63" s="190"/>
      <c r="Q63" s="190">
        <f t="shared" si="2"/>
        <v>96.784571271543285</v>
      </c>
    </row>
    <row r="64" spans="1:17" s="132" customFormat="1" ht="12.75">
      <c r="A64" s="185" t="s">
        <v>36</v>
      </c>
      <c r="B64" s="195" t="s">
        <v>248</v>
      </c>
      <c r="C64" s="187">
        <v>9610.2690000000002</v>
      </c>
      <c r="D64" s="187"/>
      <c r="E64" s="189">
        <v>9610.2690000000002</v>
      </c>
      <c r="F64" s="187">
        <f t="shared" si="3"/>
        <v>9550.9889999999996</v>
      </c>
      <c r="G64" s="187"/>
      <c r="H64" s="189">
        <v>9550.9889999999996</v>
      </c>
      <c r="I64" s="181"/>
      <c r="J64" s="181"/>
      <c r="K64" s="181"/>
      <c r="L64" s="181"/>
      <c r="M64" s="181"/>
      <c r="N64" s="182"/>
      <c r="O64" s="190">
        <f t="shared" si="1"/>
        <v>99.383159826223377</v>
      </c>
      <c r="P64" s="190"/>
      <c r="Q64" s="190">
        <f t="shared" si="2"/>
        <v>99.383159826223377</v>
      </c>
    </row>
    <row r="65" spans="1:17" s="132" customFormat="1" ht="12.75">
      <c r="A65" s="185" t="s">
        <v>36</v>
      </c>
      <c r="B65" s="195" t="s">
        <v>249</v>
      </c>
      <c r="C65" s="187">
        <v>10711.751</v>
      </c>
      <c r="D65" s="187"/>
      <c r="E65" s="189">
        <v>10711.751</v>
      </c>
      <c r="F65" s="187">
        <f t="shared" si="3"/>
        <v>10404.683999999999</v>
      </c>
      <c r="G65" s="187"/>
      <c r="H65" s="189">
        <v>10404.683999999999</v>
      </c>
      <c r="I65" s="181"/>
      <c r="J65" s="181"/>
      <c r="K65" s="181"/>
      <c r="L65" s="181"/>
      <c r="M65" s="181"/>
      <c r="N65" s="182"/>
      <c r="O65" s="190">
        <f t="shared" si="1"/>
        <v>97.133363163501457</v>
      </c>
      <c r="P65" s="190"/>
      <c r="Q65" s="190">
        <f t="shared" si="2"/>
        <v>97.133363163501457</v>
      </c>
    </row>
    <row r="66" spans="1:17" s="132" customFormat="1" ht="12.75">
      <c r="A66" s="185" t="s">
        <v>36</v>
      </c>
      <c r="B66" s="195" t="s">
        <v>250</v>
      </c>
      <c r="C66" s="187">
        <v>11781.833000000001</v>
      </c>
      <c r="D66" s="187"/>
      <c r="E66" s="189">
        <v>11781.833000000001</v>
      </c>
      <c r="F66" s="187">
        <f t="shared" si="3"/>
        <v>11527.523999999999</v>
      </c>
      <c r="G66" s="187"/>
      <c r="H66" s="189">
        <v>11527.523999999999</v>
      </c>
      <c r="I66" s="181"/>
      <c r="J66" s="181"/>
      <c r="K66" s="181"/>
      <c r="L66" s="181"/>
      <c r="M66" s="181"/>
      <c r="N66" s="182"/>
      <c r="O66" s="190">
        <f t="shared" si="1"/>
        <v>97.841515832044124</v>
      </c>
      <c r="P66" s="190"/>
      <c r="Q66" s="190">
        <f t="shared" si="2"/>
        <v>97.841515832044124</v>
      </c>
    </row>
    <row r="67" spans="1:17" s="132" customFormat="1" ht="12.75">
      <c r="A67" s="185" t="s">
        <v>36</v>
      </c>
      <c r="B67" s="195" t="s">
        <v>251</v>
      </c>
      <c r="C67" s="187">
        <v>11858.261</v>
      </c>
      <c r="D67" s="187"/>
      <c r="E67" s="189">
        <v>11858.261</v>
      </c>
      <c r="F67" s="187">
        <f t="shared" si="3"/>
        <v>11686.665000000001</v>
      </c>
      <c r="G67" s="187"/>
      <c r="H67" s="189">
        <v>11686.665000000001</v>
      </c>
      <c r="I67" s="181"/>
      <c r="J67" s="181"/>
      <c r="K67" s="181"/>
      <c r="L67" s="181"/>
      <c r="M67" s="181"/>
      <c r="N67" s="182"/>
      <c r="O67" s="190">
        <f t="shared" si="1"/>
        <v>98.552941278657983</v>
      </c>
      <c r="P67" s="190"/>
      <c r="Q67" s="190">
        <f t="shared" si="2"/>
        <v>98.552941278657983</v>
      </c>
    </row>
    <row r="68" spans="1:17" s="132" customFormat="1" ht="12.75">
      <c r="A68" s="185" t="s">
        <v>36</v>
      </c>
      <c r="B68" s="195" t="s">
        <v>252</v>
      </c>
      <c r="C68" s="187">
        <v>11914.795</v>
      </c>
      <c r="D68" s="187"/>
      <c r="E68" s="189">
        <v>11914.795</v>
      </c>
      <c r="F68" s="187">
        <f t="shared" si="3"/>
        <v>11755.599</v>
      </c>
      <c r="G68" s="187"/>
      <c r="H68" s="189">
        <v>11755.599</v>
      </c>
      <c r="I68" s="181"/>
      <c r="J68" s="181"/>
      <c r="K68" s="181"/>
      <c r="L68" s="181"/>
      <c r="M68" s="181"/>
      <c r="N68" s="182"/>
      <c r="O68" s="190">
        <f t="shared" si="1"/>
        <v>98.663879655503933</v>
      </c>
      <c r="P68" s="190"/>
      <c r="Q68" s="190">
        <f t="shared" si="2"/>
        <v>98.663879655503933</v>
      </c>
    </row>
    <row r="69" spans="1:17" s="132" customFormat="1" ht="12.75">
      <c r="A69" s="185" t="s">
        <v>36</v>
      </c>
      <c r="B69" s="195" t="s">
        <v>253</v>
      </c>
      <c r="C69" s="187">
        <v>9603.6470000000008</v>
      </c>
      <c r="D69" s="187"/>
      <c r="E69" s="189">
        <v>9603.6470000000008</v>
      </c>
      <c r="F69" s="187">
        <f t="shared" si="3"/>
        <v>9462.9789999999994</v>
      </c>
      <c r="G69" s="187"/>
      <c r="H69" s="189">
        <v>9462.9789999999994</v>
      </c>
      <c r="I69" s="181"/>
      <c r="J69" s="181"/>
      <c r="K69" s="181"/>
      <c r="L69" s="181"/>
      <c r="M69" s="181"/>
      <c r="N69" s="182"/>
      <c r="O69" s="190">
        <f t="shared" si="1"/>
        <v>98.535264780140281</v>
      </c>
      <c r="P69" s="190"/>
      <c r="Q69" s="190">
        <f t="shared" si="2"/>
        <v>98.535264780140281</v>
      </c>
    </row>
    <row r="70" spans="1:17" s="132" customFormat="1" ht="12.75">
      <c r="A70" s="185" t="s">
        <v>36</v>
      </c>
      <c r="B70" s="195" t="s">
        <v>254</v>
      </c>
      <c r="C70" s="187">
        <v>9986.2189999999991</v>
      </c>
      <c r="D70" s="187"/>
      <c r="E70" s="189">
        <v>9986.2189999999991</v>
      </c>
      <c r="F70" s="187">
        <f t="shared" si="3"/>
        <v>9722.3649999999998</v>
      </c>
      <c r="G70" s="187"/>
      <c r="H70" s="189">
        <v>9722.3649999999998</v>
      </c>
      <c r="I70" s="181"/>
      <c r="J70" s="181"/>
      <c r="K70" s="181"/>
      <c r="L70" s="181"/>
      <c r="M70" s="181"/>
      <c r="N70" s="182"/>
      <c r="O70" s="190">
        <f t="shared" si="1"/>
        <v>97.357818810102202</v>
      </c>
      <c r="P70" s="190"/>
      <c r="Q70" s="190">
        <f t="shared" si="2"/>
        <v>97.357818810102202</v>
      </c>
    </row>
    <row r="71" spans="1:17" s="132" customFormat="1" ht="12.75">
      <c r="A71" s="185" t="s">
        <v>36</v>
      </c>
      <c r="B71" s="195" t="s">
        <v>255</v>
      </c>
      <c r="C71" s="187">
        <v>4347.16</v>
      </c>
      <c r="D71" s="187"/>
      <c r="E71" s="189">
        <v>4347.16</v>
      </c>
      <c r="F71" s="187">
        <f t="shared" si="3"/>
        <v>4863.16</v>
      </c>
      <c r="G71" s="187"/>
      <c r="H71" s="189">
        <f>4704.16+159</f>
        <v>4863.16</v>
      </c>
      <c r="I71" s="181"/>
      <c r="J71" s="181"/>
      <c r="K71" s="181"/>
      <c r="L71" s="181"/>
      <c r="M71" s="181"/>
      <c r="N71" s="182"/>
      <c r="O71" s="190">
        <f t="shared" si="1"/>
        <v>111.86981845618749</v>
      </c>
      <c r="P71" s="190"/>
      <c r="Q71" s="190">
        <f t="shared" si="2"/>
        <v>111.86981845618749</v>
      </c>
    </row>
    <row r="72" spans="1:17" s="132" customFormat="1" ht="12.75">
      <c r="A72" s="185" t="s">
        <v>36</v>
      </c>
      <c r="B72" s="195" t="s">
        <v>256</v>
      </c>
      <c r="C72" s="187">
        <v>26905</v>
      </c>
      <c r="D72" s="187"/>
      <c r="E72" s="189">
        <v>26905</v>
      </c>
      <c r="F72" s="187">
        <f t="shared" si="3"/>
        <v>33619.300000000003</v>
      </c>
      <c r="G72" s="187"/>
      <c r="H72" s="189">
        <v>33619.300000000003</v>
      </c>
      <c r="I72" s="181"/>
      <c r="J72" s="181"/>
      <c r="K72" s="181"/>
      <c r="L72" s="181"/>
      <c r="M72" s="181"/>
      <c r="N72" s="182"/>
      <c r="O72" s="190">
        <f t="shared" si="1"/>
        <v>124.95558446385431</v>
      </c>
      <c r="P72" s="190"/>
      <c r="Q72" s="190">
        <f t="shared" si="2"/>
        <v>124.95558446385431</v>
      </c>
    </row>
    <row r="73" spans="1:17" s="132" customFormat="1" ht="12.75">
      <c r="A73" s="185" t="s">
        <v>36</v>
      </c>
      <c r="B73" s="195" t="s">
        <v>257</v>
      </c>
      <c r="C73" s="187">
        <v>17020</v>
      </c>
      <c r="D73" s="187"/>
      <c r="E73" s="189">
        <v>17020</v>
      </c>
      <c r="F73" s="187">
        <f t="shared" si="3"/>
        <v>19392</v>
      </c>
      <c r="G73" s="187"/>
      <c r="H73" s="189">
        <v>19392</v>
      </c>
      <c r="I73" s="181"/>
      <c r="J73" s="181"/>
      <c r="K73" s="181"/>
      <c r="L73" s="181"/>
      <c r="M73" s="181"/>
      <c r="N73" s="182"/>
      <c r="O73" s="190">
        <f t="shared" ref="O73:O136" si="4">F73/C73*100</f>
        <v>113.93654524089307</v>
      </c>
      <c r="P73" s="190"/>
      <c r="Q73" s="190">
        <f t="shared" ref="Q73:Q136" si="5">H73/E73*100</f>
        <v>113.93654524089307</v>
      </c>
    </row>
    <row r="74" spans="1:17" s="132" customFormat="1" ht="12.75">
      <c r="A74" s="185" t="s">
        <v>36</v>
      </c>
      <c r="B74" s="195" t="s">
        <v>258</v>
      </c>
      <c r="C74" s="187">
        <v>5938.3</v>
      </c>
      <c r="D74" s="187"/>
      <c r="E74" s="189">
        <v>5938.3</v>
      </c>
      <c r="F74" s="187">
        <f t="shared" ref="F74:F137" si="6">G74+H74+I74+J74+K74+N74</f>
        <v>5114.3</v>
      </c>
      <c r="G74" s="187"/>
      <c r="H74" s="189">
        <v>5114.3</v>
      </c>
      <c r="I74" s="181"/>
      <c r="J74" s="181"/>
      <c r="K74" s="181"/>
      <c r="L74" s="181"/>
      <c r="M74" s="181"/>
      <c r="N74" s="182"/>
      <c r="O74" s="190">
        <f t="shared" si="4"/>
        <v>86.123974874964219</v>
      </c>
      <c r="P74" s="190"/>
      <c r="Q74" s="190">
        <f t="shared" si="5"/>
        <v>86.123974874964219</v>
      </c>
    </row>
    <row r="75" spans="1:17" s="132" customFormat="1" ht="33.75" customHeight="1">
      <c r="A75" s="193" t="s">
        <v>259</v>
      </c>
      <c r="B75" s="194" t="s">
        <v>260</v>
      </c>
      <c r="C75" s="179">
        <v>111033</v>
      </c>
      <c r="D75" s="179"/>
      <c r="E75" s="184">
        <v>111033</v>
      </c>
      <c r="F75" s="179">
        <f t="shared" si="6"/>
        <v>96351.644</v>
      </c>
      <c r="G75" s="179"/>
      <c r="H75" s="184">
        <f>SUM(H76:H87)</f>
        <v>96351.644</v>
      </c>
      <c r="I75" s="181"/>
      <c r="J75" s="181"/>
      <c r="K75" s="181"/>
      <c r="L75" s="181"/>
      <c r="M75" s="181"/>
      <c r="N75" s="182"/>
      <c r="O75" s="190">
        <f t="shared" si="4"/>
        <v>86.777484171372478</v>
      </c>
      <c r="P75" s="190"/>
      <c r="Q75" s="190">
        <f t="shared" si="5"/>
        <v>86.777484171372478</v>
      </c>
    </row>
    <row r="76" spans="1:17" s="132" customFormat="1" ht="12.75">
      <c r="A76" s="185" t="s">
        <v>36</v>
      </c>
      <c r="B76" s="195" t="s">
        <v>261</v>
      </c>
      <c r="C76" s="179">
        <v>12403</v>
      </c>
      <c r="D76" s="179">
        <v>0</v>
      </c>
      <c r="E76" s="189">
        <v>12403</v>
      </c>
      <c r="F76" s="179">
        <f t="shared" si="6"/>
        <v>12556</v>
      </c>
      <c r="G76" s="179"/>
      <c r="H76" s="189">
        <f>12271+285</f>
        <v>12556</v>
      </c>
      <c r="I76" s="181"/>
      <c r="J76" s="181"/>
      <c r="K76" s="181"/>
      <c r="L76" s="181"/>
      <c r="M76" s="181"/>
      <c r="N76" s="182"/>
      <c r="O76" s="190">
        <f t="shared" si="4"/>
        <v>101.23357252277674</v>
      </c>
      <c r="P76" s="190"/>
      <c r="Q76" s="190">
        <f t="shared" si="5"/>
        <v>101.23357252277674</v>
      </c>
    </row>
    <row r="77" spans="1:17" s="132" customFormat="1" ht="12.75">
      <c r="A77" s="185" t="s">
        <v>36</v>
      </c>
      <c r="B77" s="195" t="s">
        <v>262</v>
      </c>
      <c r="C77" s="187">
        <v>24357</v>
      </c>
      <c r="D77" s="187"/>
      <c r="E77" s="189">
        <v>24357</v>
      </c>
      <c r="F77" s="187">
        <f t="shared" si="6"/>
        <v>21452.423999999999</v>
      </c>
      <c r="G77" s="187"/>
      <c r="H77" s="189">
        <f>21262.424+146+44</f>
        <v>21452.423999999999</v>
      </c>
      <c r="I77" s="181"/>
      <c r="J77" s="181"/>
      <c r="K77" s="181"/>
      <c r="L77" s="181"/>
      <c r="M77" s="181"/>
      <c r="N77" s="182"/>
      <c r="O77" s="190">
        <f t="shared" si="4"/>
        <v>88.07498460401527</v>
      </c>
      <c r="P77" s="190"/>
      <c r="Q77" s="190">
        <f t="shared" si="5"/>
        <v>88.07498460401527</v>
      </c>
    </row>
    <row r="78" spans="1:17" s="132" customFormat="1" ht="12.75">
      <c r="A78" s="185" t="s">
        <v>36</v>
      </c>
      <c r="B78" s="195" t="s">
        <v>263</v>
      </c>
      <c r="C78" s="187">
        <v>14273</v>
      </c>
      <c r="D78" s="187"/>
      <c r="E78" s="189">
        <v>14273</v>
      </c>
      <c r="F78" s="187">
        <f t="shared" si="6"/>
        <v>11666.404</v>
      </c>
      <c r="G78" s="187"/>
      <c r="H78" s="189">
        <f>11525.404+141</f>
        <v>11666.404</v>
      </c>
      <c r="I78" s="181"/>
      <c r="J78" s="181"/>
      <c r="K78" s="181"/>
      <c r="L78" s="181"/>
      <c r="M78" s="181"/>
      <c r="N78" s="182"/>
      <c r="O78" s="190">
        <f t="shared" si="4"/>
        <v>81.737574441252718</v>
      </c>
      <c r="P78" s="190"/>
      <c r="Q78" s="190">
        <f t="shared" si="5"/>
        <v>81.737574441252718</v>
      </c>
    </row>
    <row r="79" spans="1:17" s="132" customFormat="1" ht="12.75">
      <c r="A79" s="185" t="s">
        <v>36</v>
      </c>
      <c r="B79" s="195" t="s">
        <v>264</v>
      </c>
      <c r="C79" s="187">
        <v>27493</v>
      </c>
      <c r="D79" s="187"/>
      <c r="E79" s="189">
        <v>27493</v>
      </c>
      <c r="F79" s="187">
        <f t="shared" si="6"/>
        <v>22522.71</v>
      </c>
      <c r="G79" s="187"/>
      <c r="H79" s="189">
        <f>22414.71+87+21</f>
        <v>22522.71</v>
      </c>
      <c r="I79" s="181"/>
      <c r="J79" s="181"/>
      <c r="K79" s="181"/>
      <c r="L79" s="181"/>
      <c r="M79" s="181"/>
      <c r="N79" s="182"/>
      <c r="O79" s="190">
        <f t="shared" si="4"/>
        <v>81.921616411450188</v>
      </c>
      <c r="P79" s="190"/>
      <c r="Q79" s="190">
        <f t="shared" si="5"/>
        <v>81.921616411450188</v>
      </c>
    </row>
    <row r="80" spans="1:17" s="132" customFormat="1" ht="12.75">
      <c r="A80" s="185" t="s">
        <v>36</v>
      </c>
      <c r="B80" s="195" t="s">
        <v>265</v>
      </c>
      <c r="C80" s="187">
        <v>11505</v>
      </c>
      <c r="D80" s="187"/>
      <c r="E80" s="189">
        <v>11505</v>
      </c>
      <c r="F80" s="187">
        <f t="shared" si="6"/>
        <v>11103.034</v>
      </c>
      <c r="G80" s="187"/>
      <c r="H80" s="189">
        <v>11103.034</v>
      </c>
      <c r="I80" s="181"/>
      <c r="J80" s="181"/>
      <c r="K80" s="181"/>
      <c r="L80" s="181"/>
      <c r="M80" s="181"/>
      <c r="N80" s="182"/>
      <c r="O80" s="190">
        <f t="shared" si="4"/>
        <v>96.506162538026942</v>
      </c>
      <c r="P80" s="190"/>
      <c r="Q80" s="190">
        <f t="shared" si="5"/>
        <v>96.506162538026942</v>
      </c>
    </row>
    <row r="81" spans="1:17" s="132" customFormat="1" ht="12.75">
      <c r="A81" s="185" t="s">
        <v>36</v>
      </c>
      <c r="B81" s="195" t="s">
        <v>266</v>
      </c>
      <c r="C81" s="187">
        <v>5361</v>
      </c>
      <c r="D81" s="187"/>
      <c r="E81" s="189">
        <v>5361</v>
      </c>
      <c r="F81" s="187">
        <f t="shared" si="6"/>
        <v>5644</v>
      </c>
      <c r="G81" s="187"/>
      <c r="H81" s="189">
        <f>5361+277+6</f>
        <v>5644</v>
      </c>
      <c r="I81" s="181"/>
      <c r="J81" s="181"/>
      <c r="K81" s="181"/>
      <c r="L81" s="181"/>
      <c r="M81" s="181"/>
      <c r="N81" s="182"/>
      <c r="O81" s="190">
        <f t="shared" si="4"/>
        <v>105.27886588323074</v>
      </c>
      <c r="P81" s="190"/>
      <c r="Q81" s="190">
        <f t="shared" si="5"/>
        <v>105.27886588323074</v>
      </c>
    </row>
    <row r="82" spans="1:17" s="132" customFormat="1" ht="12.75">
      <c r="A82" s="185" t="s">
        <v>36</v>
      </c>
      <c r="B82" s="195" t="s">
        <v>267</v>
      </c>
      <c r="C82" s="187">
        <v>2500</v>
      </c>
      <c r="D82" s="187"/>
      <c r="E82" s="189">
        <v>2500</v>
      </c>
      <c r="F82" s="187">
        <f t="shared" si="6"/>
        <v>1101.8219999999999</v>
      </c>
      <c r="G82" s="187"/>
      <c r="H82" s="189">
        <v>1101.8219999999999</v>
      </c>
      <c r="I82" s="181"/>
      <c r="J82" s="181"/>
      <c r="K82" s="181"/>
      <c r="L82" s="181"/>
      <c r="M82" s="181"/>
      <c r="N82" s="182"/>
      <c r="O82" s="190">
        <f t="shared" si="4"/>
        <v>44.072879999999998</v>
      </c>
      <c r="P82" s="190"/>
      <c r="Q82" s="190">
        <f t="shared" si="5"/>
        <v>44.072879999999998</v>
      </c>
    </row>
    <row r="83" spans="1:17" s="132" customFormat="1" ht="12.75">
      <c r="A83" s="185" t="s">
        <v>36</v>
      </c>
      <c r="B83" s="195" t="s">
        <v>268</v>
      </c>
      <c r="C83" s="187">
        <v>1500</v>
      </c>
      <c r="D83" s="187"/>
      <c r="E83" s="189">
        <v>1500</v>
      </c>
      <c r="F83" s="187">
        <f t="shared" si="6"/>
        <v>905</v>
      </c>
      <c r="G83" s="187"/>
      <c r="H83" s="189">
        <v>905</v>
      </c>
      <c r="I83" s="181"/>
      <c r="J83" s="181"/>
      <c r="K83" s="181"/>
      <c r="L83" s="181"/>
      <c r="M83" s="181"/>
      <c r="N83" s="182"/>
      <c r="O83" s="190">
        <f t="shared" si="4"/>
        <v>60.333333333333336</v>
      </c>
      <c r="P83" s="190"/>
      <c r="Q83" s="190">
        <f t="shared" si="5"/>
        <v>60.333333333333336</v>
      </c>
    </row>
    <row r="84" spans="1:17" s="132" customFormat="1" ht="38.25">
      <c r="A84" s="185" t="s">
        <v>36</v>
      </c>
      <c r="B84" s="196" t="s">
        <v>269</v>
      </c>
      <c r="C84" s="187">
        <v>350</v>
      </c>
      <c r="D84" s="187"/>
      <c r="E84" s="189">
        <v>350</v>
      </c>
      <c r="F84" s="187">
        <f t="shared" si="6"/>
        <v>350</v>
      </c>
      <c r="G84" s="187"/>
      <c r="H84" s="189">
        <v>350</v>
      </c>
      <c r="I84" s="181"/>
      <c r="J84" s="181"/>
      <c r="K84" s="181"/>
      <c r="L84" s="181"/>
      <c r="M84" s="181"/>
      <c r="N84" s="182"/>
      <c r="O84" s="190">
        <f t="shared" si="4"/>
        <v>100</v>
      </c>
      <c r="P84" s="190"/>
      <c r="Q84" s="190">
        <f t="shared" si="5"/>
        <v>100</v>
      </c>
    </row>
    <row r="85" spans="1:17" s="132" customFormat="1" ht="63.75">
      <c r="A85" s="185" t="s">
        <v>36</v>
      </c>
      <c r="B85" s="196" t="s">
        <v>270</v>
      </c>
      <c r="C85" s="187">
        <v>1111</v>
      </c>
      <c r="D85" s="187"/>
      <c r="E85" s="189">
        <v>1111</v>
      </c>
      <c r="F85" s="187">
        <f t="shared" si="6"/>
        <v>538.70000000000005</v>
      </c>
      <c r="G85" s="187"/>
      <c r="H85" s="189">
        <v>538.70000000000005</v>
      </c>
      <c r="I85" s="181"/>
      <c r="J85" s="181"/>
      <c r="K85" s="181"/>
      <c r="L85" s="181"/>
      <c r="M85" s="181"/>
      <c r="N85" s="182"/>
      <c r="O85" s="190">
        <f t="shared" si="4"/>
        <v>48.487848784878487</v>
      </c>
      <c r="P85" s="190"/>
      <c r="Q85" s="190">
        <f t="shared" si="5"/>
        <v>48.487848784878487</v>
      </c>
    </row>
    <row r="86" spans="1:17" s="132" customFormat="1" ht="25.5">
      <c r="A86" s="185" t="s">
        <v>36</v>
      </c>
      <c r="B86" s="195" t="s">
        <v>271</v>
      </c>
      <c r="C86" s="187">
        <v>180</v>
      </c>
      <c r="D86" s="187"/>
      <c r="E86" s="189">
        <v>180</v>
      </c>
      <c r="F86" s="187">
        <f t="shared" si="6"/>
        <v>391</v>
      </c>
      <c r="G86" s="187"/>
      <c r="H86" s="189">
        <f>180+206+5</f>
        <v>391</v>
      </c>
      <c r="I86" s="181"/>
      <c r="J86" s="181"/>
      <c r="K86" s="181"/>
      <c r="L86" s="181"/>
      <c r="M86" s="181"/>
      <c r="N86" s="182"/>
      <c r="O86" s="190">
        <f t="shared" si="4"/>
        <v>217.2222222222222</v>
      </c>
      <c r="P86" s="190"/>
      <c r="Q86" s="190">
        <f t="shared" si="5"/>
        <v>217.2222222222222</v>
      </c>
    </row>
    <row r="87" spans="1:17" s="132" customFormat="1" ht="25.5">
      <c r="A87" s="185" t="s">
        <v>36</v>
      </c>
      <c r="B87" s="196" t="s">
        <v>272</v>
      </c>
      <c r="C87" s="187">
        <v>10000</v>
      </c>
      <c r="D87" s="187"/>
      <c r="E87" s="188">
        <v>10000</v>
      </c>
      <c r="F87" s="187">
        <f t="shared" si="6"/>
        <v>8120.5499999999993</v>
      </c>
      <c r="G87" s="187"/>
      <c r="H87" s="188">
        <f>SUM(H88:H111)</f>
        <v>8120.5499999999993</v>
      </c>
      <c r="I87" s="181"/>
      <c r="J87" s="181"/>
      <c r="K87" s="181"/>
      <c r="L87" s="181"/>
      <c r="M87" s="181"/>
      <c r="N87" s="182"/>
      <c r="O87" s="190">
        <f t="shared" si="4"/>
        <v>81.205500000000001</v>
      </c>
      <c r="P87" s="190"/>
      <c r="Q87" s="190">
        <f t="shared" si="5"/>
        <v>81.205500000000001</v>
      </c>
    </row>
    <row r="88" spans="1:17" s="132" customFormat="1" ht="12.75">
      <c r="A88" s="185" t="s">
        <v>273</v>
      </c>
      <c r="B88" s="196" t="s">
        <v>274</v>
      </c>
      <c r="C88" s="187">
        <v>666.26</v>
      </c>
      <c r="D88" s="187"/>
      <c r="E88" s="189">
        <v>666.26</v>
      </c>
      <c r="F88" s="187">
        <f t="shared" si="6"/>
        <v>666.26</v>
      </c>
      <c r="G88" s="187"/>
      <c r="H88" s="189">
        <v>666.26</v>
      </c>
      <c r="I88" s="181"/>
      <c r="J88" s="181"/>
      <c r="K88" s="181"/>
      <c r="L88" s="181"/>
      <c r="M88" s="181"/>
      <c r="N88" s="182"/>
      <c r="O88" s="190">
        <f t="shared" si="4"/>
        <v>100</v>
      </c>
      <c r="P88" s="190"/>
      <c r="Q88" s="190">
        <f t="shared" si="5"/>
        <v>100</v>
      </c>
    </row>
    <row r="89" spans="1:17" s="132" customFormat="1" ht="12.75">
      <c r="A89" s="185" t="s">
        <v>273</v>
      </c>
      <c r="B89" s="196" t="s">
        <v>275</v>
      </c>
      <c r="C89" s="187">
        <v>50</v>
      </c>
      <c r="D89" s="187"/>
      <c r="E89" s="189">
        <v>50</v>
      </c>
      <c r="F89" s="187">
        <f t="shared" si="6"/>
        <v>50</v>
      </c>
      <c r="G89" s="187"/>
      <c r="H89" s="189">
        <v>50</v>
      </c>
      <c r="I89" s="181"/>
      <c r="J89" s="181"/>
      <c r="K89" s="181"/>
      <c r="L89" s="181"/>
      <c r="M89" s="181"/>
      <c r="N89" s="182"/>
      <c r="O89" s="190">
        <f t="shared" si="4"/>
        <v>100</v>
      </c>
      <c r="P89" s="190"/>
      <c r="Q89" s="190">
        <f t="shared" si="5"/>
        <v>100</v>
      </c>
    </row>
    <row r="90" spans="1:17" s="132" customFormat="1" ht="12.75">
      <c r="A90" s="185" t="s">
        <v>273</v>
      </c>
      <c r="B90" s="196" t="s">
        <v>276</v>
      </c>
      <c r="C90" s="187">
        <v>166.7</v>
      </c>
      <c r="D90" s="187"/>
      <c r="E90" s="189">
        <v>166.7</v>
      </c>
      <c r="F90" s="187">
        <f t="shared" si="6"/>
        <v>166.7</v>
      </c>
      <c r="G90" s="187"/>
      <c r="H90" s="189">
        <v>166.7</v>
      </c>
      <c r="I90" s="181"/>
      <c r="J90" s="181"/>
      <c r="K90" s="181"/>
      <c r="L90" s="181"/>
      <c r="M90" s="181"/>
      <c r="N90" s="182"/>
      <c r="O90" s="190">
        <f t="shared" si="4"/>
        <v>100</v>
      </c>
      <c r="P90" s="190"/>
      <c r="Q90" s="190">
        <f t="shared" si="5"/>
        <v>100</v>
      </c>
    </row>
    <row r="91" spans="1:17" s="132" customFormat="1" ht="12.75">
      <c r="A91" s="185" t="s">
        <v>273</v>
      </c>
      <c r="B91" s="196" t="s">
        <v>277</v>
      </c>
      <c r="C91" s="187">
        <v>41.7</v>
      </c>
      <c r="D91" s="187"/>
      <c r="E91" s="189">
        <v>41.7</v>
      </c>
      <c r="F91" s="187">
        <f t="shared" si="6"/>
        <v>41.7</v>
      </c>
      <c r="G91" s="187"/>
      <c r="H91" s="189">
        <v>41.7</v>
      </c>
      <c r="I91" s="181"/>
      <c r="J91" s="181"/>
      <c r="K91" s="181"/>
      <c r="L91" s="181"/>
      <c r="M91" s="181"/>
      <c r="N91" s="182"/>
      <c r="O91" s="190">
        <f t="shared" si="4"/>
        <v>100</v>
      </c>
      <c r="P91" s="190"/>
      <c r="Q91" s="190">
        <f t="shared" si="5"/>
        <v>100</v>
      </c>
    </row>
    <row r="92" spans="1:17" s="132" customFormat="1" ht="12.75">
      <c r="A92" s="185" t="s">
        <v>273</v>
      </c>
      <c r="B92" s="196" t="s">
        <v>278</v>
      </c>
      <c r="C92" s="187">
        <v>43.6</v>
      </c>
      <c r="D92" s="187"/>
      <c r="E92" s="189">
        <v>43.6</v>
      </c>
      <c r="F92" s="187">
        <f t="shared" si="6"/>
        <v>43.6</v>
      </c>
      <c r="G92" s="187"/>
      <c r="H92" s="189">
        <v>43.6</v>
      </c>
      <c r="I92" s="181"/>
      <c r="J92" s="181"/>
      <c r="K92" s="181"/>
      <c r="L92" s="181"/>
      <c r="M92" s="181"/>
      <c r="N92" s="182"/>
      <c r="O92" s="190">
        <f t="shared" si="4"/>
        <v>100</v>
      </c>
      <c r="P92" s="190"/>
      <c r="Q92" s="190">
        <f t="shared" si="5"/>
        <v>100</v>
      </c>
    </row>
    <row r="93" spans="1:17" s="132" customFormat="1" ht="12.75">
      <c r="A93" s="185" t="s">
        <v>273</v>
      </c>
      <c r="B93" s="196" t="s">
        <v>279</v>
      </c>
      <c r="C93" s="187">
        <v>60</v>
      </c>
      <c r="D93" s="187"/>
      <c r="E93" s="189">
        <v>60</v>
      </c>
      <c r="F93" s="187">
        <f t="shared" si="6"/>
        <v>60</v>
      </c>
      <c r="G93" s="187"/>
      <c r="H93" s="189">
        <v>60</v>
      </c>
      <c r="I93" s="181"/>
      <c r="J93" s="181"/>
      <c r="K93" s="181"/>
      <c r="L93" s="181"/>
      <c r="M93" s="181"/>
      <c r="N93" s="182"/>
      <c r="O93" s="190">
        <f t="shared" si="4"/>
        <v>100</v>
      </c>
      <c r="P93" s="190"/>
      <c r="Q93" s="190">
        <f t="shared" si="5"/>
        <v>100</v>
      </c>
    </row>
    <row r="94" spans="1:17" s="132" customFormat="1" ht="12.75">
      <c r="A94" s="185" t="s">
        <v>273</v>
      </c>
      <c r="B94" s="196" t="s">
        <v>193</v>
      </c>
      <c r="C94" s="187">
        <v>752.43</v>
      </c>
      <c r="D94" s="187"/>
      <c r="E94" s="189">
        <v>752.43</v>
      </c>
      <c r="F94" s="187">
        <f t="shared" si="6"/>
        <v>752.43</v>
      </c>
      <c r="G94" s="187"/>
      <c r="H94" s="189">
        <v>752.43</v>
      </c>
      <c r="I94" s="181"/>
      <c r="J94" s="181"/>
      <c r="K94" s="181"/>
      <c r="L94" s="181"/>
      <c r="M94" s="181"/>
      <c r="N94" s="182"/>
      <c r="O94" s="190">
        <f t="shared" si="4"/>
        <v>100</v>
      </c>
      <c r="P94" s="190"/>
      <c r="Q94" s="190">
        <f t="shared" si="5"/>
        <v>100</v>
      </c>
    </row>
    <row r="95" spans="1:17" s="132" customFormat="1" ht="12.75">
      <c r="A95" s="185" t="s">
        <v>273</v>
      </c>
      <c r="B95" s="196" t="s">
        <v>195</v>
      </c>
      <c r="C95" s="187">
        <v>52</v>
      </c>
      <c r="D95" s="187"/>
      <c r="E95" s="189">
        <v>52</v>
      </c>
      <c r="F95" s="187">
        <f t="shared" si="6"/>
        <v>52</v>
      </c>
      <c r="G95" s="187"/>
      <c r="H95" s="189">
        <v>52</v>
      </c>
      <c r="I95" s="181"/>
      <c r="J95" s="181"/>
      <c r="K95" s="181"/>
      <c r="L95" s="181"/>
      <c r="M95" s="181"/>
      <c r="N95" s="182"/>
      <c r="O95" s="190">
        <f t="shared" si="4"/>
        <v>100</v>
      </c>
      <c r="P95" s="190"/>
      <c r="Q95" s="190">
        <f t="shared" si="5"/>
        <v>100</v>
      </c>
    </row>
    <row r="96" spans="1:17" s="132" customFormat="1" ht="12.75">
      <c r="A96" s="185" t="s">
        <v>273</v>
      </c>
      <c r="B96" s="196" t="s">
        <v>280</v>
      </c>
      <c r="C96" s="187">
        <v>55.08</v>
      </c>
      <c r="D96" s="187"/>
      <c r="E96" s="189">
        <v>55.08</v>
      </c>
      <c r="F96" s="187">
        <f t="shared" si="6"/>
        <v>55.08</v>
      </c>
      <c r="G96" s="187"/>
      <c r="H96" s="189">
        <v>55.08</v>
      </c>
      <c r="I96" s="181"/>
      <c r="J96" s="181"/>
      <c r="K96" s="181"/>
      <c r="L96" s="181"/>
      <c r="M96" s="181"/>
      <c r="N96" s="182"/>
      <c r="O96" s="190">
        <f t="shared" si="4"/>
        <v>100</v>
      </c>
      <c r="P96" s="190"/>
      <c r="Q96" s="190">
        <f t="shared" si="5"/>
        <v>100</v>
      </c>
    </row>
    <row r="97" spans="1:17" s="132" customFormat="1" ht="12.75">
      <c r="A97" s="185" t="s">
        <v>273</v>
      </c>
      <c r="B97" s="196" t="s">
        <v>281</v>
      </c>
      <c r="C97" s="187">
        <v>270</v>
      </c>
      <c r="D97" s="187"/>
      <c r="E97" s="189">
        <v>270</v>
      </c>
      <c r="F97" s="187">
        <f t="shared" si="6"/>
        <v>270</v>
      </c>
      <c r="G97" s="187"/>
      <c r="H97" s="189">
        <v>270</v>
      </c>
      <c r="I97" s="181"/>
      <c r="J97" s="181"/>
      <c r="K97" s="181"/>
      <c r="L97" s="181"/>
      <c r="M97" s="181"/>
      <c r="N97" s="182"/>
      <c r="O97" s="190">
        <f t="shared" si="4"/>
        <v>100</v>
      </c>
      <c r="P97" s="190"/>
      <c r="Q97" s="190">
        <f t="shared" si="5"/>
        <v>100</v>
      </c>
    </row>
    <row r="98" spans="1:17" s="132" customFormat="1" ht="12.75">
      <c r="A98" s="185" t="s">
        <v>273</v>
      </c>
      <c r="B98" s="196" t="s">
        <v>282</v>
      </c>
      <c r="C98" s="187">
        <v>605.29999999999995</v>
      </c>
      <c r="D98" s="187"/>
      <c r="E98" s="189">
        <v>605.29999999999995</v>
      </c>
      <c r="F98" s="187">
        <f t="shared" si="6"/>
        <v>605.29999999999995</v>
      </c>
      <c r="G98" s="187"/>
      <c r="H98" s="189">
        <v>605.29999999999995</v>
      </c>
      <c r="I98" s="181"/>
      <c r="J98" s="181"/>
      <c r="K98" s="181"/>
      <c r="L98" s="181"/>
      <c r="M98" s="181"/>
      <c r="N98" s="182"/>
      <c r="O98" s="190">
        <f t="shared" si="4"/>
        <v>100</v>
      </c>
      <c r="P98" s="190"/>
      <c r="Q98" s="190">
        <f t="shared" si="5"/>
        <v>100</v>
      </c>
    </row>
    <row r="99" spans="1:17" s="132" customFormat="1" ht="12.75">
      <c r="A99" s="185" t="s">
        <v>273</v>
      </c>
      <c r="B99" s="196" t="s">
        <v>283</v>
      </c>
      <c r="C99" s="187">
        <v>400</v>
      </c>
      <c r="D99" s="187"/>
      <c r="E99" s="189">
        <v>400</v>
      </c>
      <c r="F99" s="187">
        <f t="shared" si="6"/>
        <v>400</v>
      </c>
      <c r="G99" s="187"/>
      <c r="H99" s="189">
        <v>400</v>
      </c>
      <c r="I99" s="181"/>
      <c r="J99" s="181"/>
      <c r="K99" s="181"/>
      <c r="L99" s="181"/>
      <c r="M99" s="181"/>
      <c r="N99" s="182"/>
      <c r="O99" s="190">
        <f t="shared" si="4"/>
        <v>100</v>
      </c>
      <c r="P99" s="190"/>
      <c r="Q99" s="190">
        <f t="shared" si="5"/>
        <v>100</v>
      </c>
    </row>
    <row r="100" spans="1:17" s="132" customFormat="1" ht="12.75">
      <c r="A100" s="185" t="s">
        <v>273</v>
      </c>
      <c r="B100" s="196" t="s">
        <v>284</v>
      </c>
      <c r="C100" s="187">
        <v>1236.135</v>
      </c>
      <c r="D100" s="187"/>
      <c r="E100" s="189">
        <v>1236.135</v>
      </c>
      <c r="F100" s="187">
        <f t="shared" si="6"/>
        <v>1236.135</v>
      </c>
      <c r="G100" s="187"/>
      <c r="H100" s="189">
        <v>1236.135</v>
      </c>
      <c r="I100" s="181"/>
      <c r="J100" s="181"/>
      <c r="K100" s="181"/>
      <c r="L100" s="181"/>
      <c r="M100" s="181"/>
      <c r="N100" s="182"/>
      <c r="O100" s="190">
        <f t="shared" si="4"/>
        <v>100</v>
      </c>
      <c r="P100" s="190"/>
      <c r="Q100" s="190">
        <f t="shared" si="5"/>
        <v>100</v>
      </c>
    </row>
    <row r="101" spans="1:17" s="132" customFormat="1" ht="12.75">
      <c r="A101" s="185" t="s">
        <v>273</v>
      </c>
      <c r="B101" s="196" t="s">
        <v>285</v>
      </c>
      <c r="C101" s="187">
        <v>203.92</v>
      </c>
      <c r="D101" s="187"/>
      <c r="E101" s="189">
        <v>203.92</v>
      </c>
      <c r="F101" s="187">
        <f t="shared" si="6"/>
        <v>203.92</v>
      </c>
      <c r="G101" s="187"/>
      <c r="H101" s="189">
        <v>203.92</v>
      </c>
      <c r="I101" s="181"/>
      <c r="J101" s="181"/>
      <c r="K101" s="181"/>
      <c r="L101" s="181"/>
      <c r="M101" s="181"/>
      <c r="N101" s="182"/>
      <c r="O101" s="190">
        <f t="shared" si="4"/>
        <v>100</v>
      </c>
      <c r="P101" s="190"/>
      <c r="Q101" s="190">
        <f t="shared" si="5"/>
        <v>100</v>
      </c>
    </row>
    <row r="102" spans="1:17" s="132" customFormat="1" ht="12.75">
      <c r="A102" s="185" t="s">
        <v>273</v>
      </c>
      <c r="B102" s="196" t="s">
        <v>286</v>
      </c>
      <c r="C102" s="187">
        <v>297.505</v>
      </c>
      <c r="D102" s="187"/>
      <c r="E102" s="189">
        <v>297.505</v>
      </c>
      <c r="F102" s="187">
        <f t="shared" si="6"/>
        <v>297.505</v>
      </c>
      <c r="G102" s="187"/>
      <c r="H102" s="189">
        <v>297.505</v>
      </c>
      <c r="I102" s="181"/>
      <c r="J102" s="181"/>
      <c r="K102" s="181"/>
      <c r="L102" s="181"/>
      <c r="M102" s="181"/>
      <c r="N102" s="182"/>
      <c r="O102" s="190">
        <f t="shared" si="4"/>
        <v>100</v>
      </c>
      <c r="P102" s="190"/>
      <c r="Q102" s="190">
        <f t="shared" si="5"/>
        <v>100</v>
      </c>
    </row>
    <row r="103" spans="1:17" s="132" customFormat="1" ht="12.75">
      <c r="A103" s="185" t="s">
        <v>273</v>
      </c>
      <c r="B103" s="196" t="s">
        <v>287</v>
      </c>
      <c r="C103" s="187">
        <v>41.564999999999998</v>
      </c>
      <c r="D103" s="187"/>
      <c r="E103" s="189">
        <v>41.564999999999998</v>
      </c>
      <c r="F103" s="187">
        <f t="shared" si="6"/>
        <v>41.564999999999998</v>
      </c>
      <c r="G103" s="187"/>
      <c r="H103" s="189">
        <v>41.564999999999998</v>
      </c>
      <c r="I103" s="181"/>
      <c r="J103" s="181"/>
      <c r="K103" s="181"/>
      <c r="L103" s="181"/>
      <c r="M103" s="181"/>
      <c r="N103" s="182"/>
      <c r="O103" s="190">
        <f t="shared" si="4"/>
        <v>100</v>
      </c>
      <c r="P103" s="190"/>
      <c r="Q103" s="190">
        <f t="shared" si="5"/>
        <v>100</v>
      </c>
    </row>
    <row r="104" spans="1:17" s="132" customFormat="1" ht="12.75">
      <c r="A104" s="185" t="s">
        <v>273</v>
      </c>
      <c r="B104" s="196" t="s">
        <v>288</v>
      </c>
      <c r="C104" s="187">
        <v>30</v>
      </c>
      <c r="D104" s="187"/>
      <c r="E104" s="189">
        <v>30</v>
      </c>
      <c r="F104" s="187">
        <f t="shared" si="6"/>
        <v>30</v>
      </c>
      <c r="G104" s="187"/>
      <c r="H104" s="189">
        <v>30</v>
      </c>
      <c r="I104" s="181"/>
      <c r="J104" s="181"/>
      <c r="K104" s="181"/>
      <c r="L104" s="181"/>
      <c r="M104" s="181"/>
      <c r="N104" s="182"/>
      <c r="O104" s="190">
        <f t="shared" si="4"/>
        <v>100</v>
      </c>
      <c r="P104" s="190"/>
      <c r="Q104" s="190">
        <f t="shared" si="5"/>
        <v>100</v>
      </c>
    </row>
    <row r="105" spans="1:17" s="132" customFormat="1" ht="12.75">
      <c r="A105" s="185" t="s">
        <v>273</v>
      </c>
      <c r="B105" s="196" t="s">
        <v>289</v>
      </c>
      <c r="C105" s="187">
        <v>133.70500000000001</v>
      </c>
      <c r="D105" s="187"/>
      <c r="E105" s="189">
        <v>133.70500000000001</v>
      </c>
      <c r="F105" s="187">
        <f t="shared" si="6"/>
        <v>133.70500000000001</v>
      </c>
      <c r="G105" s="187"/>
      <c r="H105" s="189">
        <v>133.70500000000001</v>
      </c>
      <c r="I105" s="181"/>
      <c r="J105" s="181"/>
      <c r="K105" s="181"/>
      <c r="L105" s="181"/>
      <c r="M105" s="181"/>
      <c r="N105" s="182"/>
      <c r="O105" s="190">
        <f t="shared" si="4"/>
        <v>100</v>
      </c>
      <c r="P105" s="190"/>
      <c r="Q105" s="190">
        <f t="shared" si="5"/>
        <v>100</v>
      </c>
    </row>
    <row r="106" spans="1:17" s="132" customFormat="1" ht="12.75">
      <c r="A106" s="185" t="s">
        <v>273</v>
      </c>
      <c r="B106" s="196" t="s">
        <v>265</v>
      </c>
      <c r="C106" s="187">
        <v>2701.8589999999999</v>
      </c>
      <c r="D106" s="187"/>
      <c r="E106" s="189">
        <v>2701.8589999999999</v>
      </c>
      <c r="F106" s="187">
        <f t="shared" si="6"/>
        <v>2701.8589999999999</v>
      </c>
      <c r="G106" s="187"/>
      <c r="H106" s="189">
        <v>2701.8589999999999</v>
      </c>
      <c r="I106" s="181"/>
      <c r="J106" s="181"/>
      <c r="K106" s="181"/>
      <c r="L106" s="181"/>
      <c r="M106" s="181"/>
      <c r="N106" s="182"/>
      <c r="O106" s="190">
        <f t="shared" si="4"/>
        <v>100</v>
      </c>
      <c r="P106" s="190"/>
      <c r="Q106" s="190">
        <f t="shared" si="5"/>
        <v>100</v>
      </c>
    </row>
    <row r="107" spans="1:17" s="132" customFormat="1" ht="12.75">
      <c r="A107" s="185" t="s">
        <v>273</v>
      </c>
      <c r="B107" s="196" t="s">
        <v>290</v>
      </c>
      <c r="C107" s="187">
        <v>33</v>
      </c>
      <c r="D107" s="187"/>
      <c r="E107" s="189">
        <v>33</v>
      </c>
      <c r="F107" s="187">
        <f t="shared" si="6"/>
        <v>33</v>
      </c>
      <c r="G107" s="187"/>
      <c r="H107" s="189">
        <v>33</v>
      </c>
      <c r="I107" s="181"/>
      <c r="J107" s="181"/>
      <c r="K107" s="181"/>
      <c r="L107" s="181"/>
      <c r="M107" s="181"/>
      <c r="N107" s="182"/>
      <c r="O107" s="190">
        <f t="shared" si="4"/>
        <v>100</v>
      </c>
      <c r="P107" s="190"/>
      <c r="Q107" s="190">
        <f t="shared" si="5"/>
        <v>100</v>
      </c>
    </row>
    <row r="108" spans="1:17" s="132" customFormat="1" ht="12.75">
      <c r="A108" s="185" t="s">
        <v>273</v>
      </c>
      <c r="B108" s="196" t="s">
        <v>291</v>
      </c>
      <c r="C108" s="187">
        <v>30</v>
      </c>
      <c r="D108" s="187"/>
      <c r="E108" s="189">
        <v>30</v>
      </c>
      <c r="F108" s="187">
        <f t="shared" si="6"/>
        <v>30.2</v>
      </c>
      <c r="G108" s="187"/>
      <c r="H108" s="189">
        <v>30.2</v>
      </c>
      <c r="I108" s="181"/>
      <c r="J108" s="181"/>
      <c r="K108" s="181"/>
      <c r="L108" s="181"/>
      <c r="M108" s="181"/>
      <c r="N108" s="182"/>
      <c r="O108" s="190">
        <f t="shared" si="4"/>
        <v>100.66666666666666</v>
      </c>
      <c r="P108" s="190"/>
      <c r="Q108" s="190">
        <f t="shared" si="5"/>
        <v>100.66666666666666</v>
      </c>
    </row>
    <row r="109" spans="1:17" s="132" customFormat="1" ht="12.75">
      <c r="A109" s="185" t="s">
        <v>273</v>
      </c>
      <c r="B109" s="196" t="s">
        <v>292</v>
      </c>
      <c r="C109" s="187">
        <v>134</v>
      </c>
      <c r="D109" s="187"/>
      <c r="E109" s="189">
        <v>134</v>
      </c>
      <c r="F109" s="187">
        <f t="shared" si="6"/>
        <v>134.441</v>
      </c>
      <c r="G109" s="187"/>
      <c r="H109" s="189">
        <v>134.441</v>
      </c>
      <c r="I109" s="181"/>
      <c r="J109" s="181"/>
      <c r="K109" s="181"/>
      <c r="L109" s="181"/>
      <c r="M109" s="181"/>
      <c r="N109" s="182"/>
      <c r="O109" s="190">
        <f t="shared" si="4"/>
        <v>100.32910447761193</v>
      </c>
      <c r="P109" s="190"/>
      <c r="Q109" s="190">
        <f t="shared" si="5"/>
        <v>100.32910447761193</v>
      </c>
    </row>
    <row r="110" spans="1:17" s="132" customFormat="1" ht="12.75">
      <c r="A110" s="185" t="s">
        <v>273</v>
      </c>
      <c r="B110" s="196" t="s">
        <v>293</v>
      </c>
      <c r="C110" s="187">
        <v>83</v>
      </c>
      <c r="D110" s="187"/>
      <c r="E110" s="189">
        <v>83</v>
      </c>
      <c r="F110" s="187">
        <f t="shared" si="6"/>
        <v>83.15</v>
      </c>
      <c r="G110" s="187"/>
      <c r="H110" s="189">
        <v>83.15</v>
      </c>
      <c r="I110" s="181"/>
      <c r="J110" s="181"/>
      <c r="K110" s="181"/>
      <c r="L110" s="181"/>
      <c r="M110" s="181"/>
      <c r="N110" s="182"/>
      <c r="O110" s="190">
        <f t="shared" si="4"/>
        <v>100.18072289156628</v>
      </c>
      <c r="P110" s="190"/>
      <c r="Q110" s="190">
        <f t="shared" si="5"/>
        <v>100.18072289156628</v>
      </c>
    </row>
    <row r="111" spans="1:17" s="132" customFormat="1" ht="12.75">
      <c r="A111" s="185" t="s">
        <v>273</v>
      </c>
      <c r="B111" s="196" t="s">
        <v>294</v>
      </c>
      <c r="C111" s="187">
        <v>32</v>
      </c>
      <c r="D111" s="187"/>
      <c r="E111" s="189">
        <v>32</v>
      </c>
      <c r="F111" s="187">
        <f t="shared" si="6"/>
        <v>32</v>
      </c>
      <c r="G111" s="187"/>
      <c r="H111" s="189">
        <v>32</v>
      </c>
      <c r="I111" s="181"/>
      <c r="J111" s="181"/>
      <c r="K111" s="181"/>
      <c r="L111" s="181"/>
      <c r="M111" s="181"/>
      <c r="N111" s="182"/>
      <c r="O111" s="190">
        <f t="shared" si="4"/>
        <v>100</v>
      </c>
      <c r="P111" s="190"/>
      <c r="Q111" s="190">
        <f t="shared" si="5"/>
        <v>100</v>
      </c>
    </row>
    <row r="112" spans="1:17" s="132" customFormat="1" ht="33.75" customHeight="1">
      <c r="A112" s="131">
        <v>4</v>
      </c>
      <c r="B112" s="194" t="s">
        <v>295</v>
      </c>
      <c r="C112" s="179">
        <v>858565</v>
      </c>
      <c r="D112" s="179"/>
      <c r="E112" s="180">
        <v>858565</v>
      </c>
      <c r="F112" s="179">
        <f t="shared" si="6"/>
        <v>920389.23</v>
      </c>
      <c r="G112" s="179"/>
      <c r="H112" s="180">
        <f>H113+H126+H139+H156+H157+H168+H179+H180</f>
        <v>920389.23</v>
      </c>
      <c r="I112" s="181"/>
      <c r="J112" s="181"/>
      <c r="K112" s="181"/>
      <c r="L112" s="181"/>
      <c r="M112" s="181"/>
      <c r="N112" s="182"/>
      <c r="O112" s="190">
        <f t="shared" si="4"/>
        <v>107.2008793743048</v>
      </c>
      <c r="P112" s="190"/>
      <c r="Q112" s="190">
        <f t="shared" si="5"/>
        <v>107.2008793743048</v>
      </c>
    </row>
    <row r="113" spans="1:17" s="132" customFormat="1" ht="33.75" customHeight="1">
      <c r="A113" s="197" t="s">
        <v>204</v>
      </c>
      <c r="B113" s="183" t="s">
        <v>296</v>
      </c>
      <c r="C113" s="179">
        <v>7000</v>
      </c>
      <c r="D113" s="179"/>
      <c r="E113" s="198">
        <v>7000</v>
      </c>
      <c r="F113" s="179">
        <f t="shared" si="6"/>
        <v>34627.226000000002</v>
      </c>
      <c r="G113" s="179"/>
      <c r="H113" s="184">
        <f>SUM(H114:H125)</f>
        <v>34627.226000000002</v>
      </c>
      <c r="I113" s="181"/>
      <c r="J113" s="181"/>
      <c r="K113" s="181"/>
      <c r="L113" s="181"/>
      <c r="M113" s="181"/>
      <c r="N113" s="182"/>
      <c r="O113" s="190">
        <f t="shared" si="4"/>
        <v>494.6746571428572</v>
      </c>
      <c r="P113" s="190"/>
      <c r="Q113" s="190">
        <f t="shared" si="5"/>
        <v>494.6746571428572</v>
      </c>
    </row>
    <row r="114" spans="1:17" s="132" customFormat="1" ht="12.75">
      <c r="A114" s="185" t="s">
        <v>36</v>
      </c>
      <c r="B114" s="186" t="s">
        <v>297</v>
      </c>
      <c r="C114" s="187">
        <v>5518</v>
      </c>
      <c r="D114" s="187"/>
      <c r="E114" s="189">
        <v>5518</v>
      </c>
      <c r="F114" s="187">
        <f t="shared" si="6"/>
        <v>5518</v>
      </c>
      <c r="G114" s="187"/>
      <c r="H114" s="189">
        <v>5518</v>
      </c>
      <c r="I114" s="181"/>
      <c r="J114" s="181"/>
      <c r="K114" s="181"/>
      <c r="L114" s="181"/>
      <c r="M114" s="181"/>
      <c r="N114" s="182"/>
      <c r="O114" s="190">
        <f t="shared" si="4"/>
        <v>100</v>
      </c>
      <c r="P114" s="190"/>
      <c r="Q114" s="190">
        <f t="shared" si="5"/>
        <v>100</v>
      </c>
    </row>
    <row r="115" spans="1:17" s="132" customFormat="1" ht="12.75">
      <c r="A115" s="185" t="s">
        <v>36</v>
      </c>
      <c r="B115" s="186" t="s">
        <v>298</v>
      </c>
      <c r="C115" s="187">
        <v>3535.1710000000003</v>
      </c>
      <c r="D115" s="187"/>
      <c r="E115" s="189">
        <v>3535.1710000000003</v>
      </c>
      <c r="F115" s="187">
        <f t="shared" si="6"/>
        <v>3535.1710000000003</v>
      </c>
      <c r="G115" s="187"/>
      <c r="H115" s="189">
        <f>1631.171+1107+797</f>
        <v>3535.1710000000003</v>
      </c>
      <c r="I115" s="181"/>
      <c r="J115" s="181"/>
      <c r="K115" s="181"/>
      <c r="L115" s="181"/>
      <c r="M115" s="181"/>
      <c r="N115" s="182"/>
      <c r="O115" s="190">
        <f t="shared" si="4"/>
        <v>100</v>
      </c>
      <c r="P115" s="190"/>
      <c r="Q115" s="190">
        <f t="shared" si="5"/>
        <v>100</v>
      </c>
    </row>
    <row r="116" spans="1:17" s="132" customFormat="1" ht="12.75">
      <c r="A116" s="185" t="s">
        <v>36</v>
      </c>
      <c r="B116" s="186" t="s">
        <v>299</v>
      </c>
      <c r="C116" s="187">
        <v>13393</v>
      </c>
      <c r="D116" s="187"/>
      <c r="E116" s="189">
        <v>13393</v>
      </c>
      <c r="F116" s="187">
        <f t="shared" si="6"/>
        <v>13393</v>
      </c>
      <c r="G116" s="187"/>
      <c r="H116" s="189">
        <f>115+13278</f>
        <v>13393</v>
      </c>
      <c r="I116" s="181"/>
      <c r="J116" s="181"/>
      <c r="K116" s="181"/>
      <c r="L116" s="181"/>
      <c r="M116" s="181"/>
      <c r="N116" s="182"/>
      <c r="O116" s="190">
        <f t="shared" si="4"/>
        <v>100</v>
      </c>
      <c r="P116" s="190"/>
      <c r="Q116" s="190">
        <f t="shared" si="5"/>
        <v>100</v>
      </c>
    </row>
    <row r="117" spans="1:17" s="132" customFormat="1" ht="12.75">
      <c r="A117" s="185" t="s">
        <v>36</v>
      </c>
      <c r="B117" s="186" t="s">
        <v>300</v>
      </c>
      <c r="C117" s="187">
        <v>126</v>
      </c>
      <c r="D117" s="187"/>
      <c r="E117" s="189">
        <v>126</v>
      </c>
      <c r="F117" s="187">
        <f t="shared" si="6"/>
        <v>126</v>
      </c>
      <c r="G117" s="187"/>
      <c r="H117" s="189">
        <v>126</v>
      </c>
      <c r="I117" s="181"/>
      <c r="J117" s="181"/>
      <c r="K117" s="181"/>
      <c r="L117" s="181"/>
      <c r="M117" s="181"/>
      <c r="N117" s="182"/>
      <c r="O117" s="190">
        <f t="shared" si="4"/>
        <v>100</v>
      </c>
      <c r="P117" s="190"/>
      <c r="Q117" s="190">
        <f t="shared" si="5"/>
        <v>100</v>
      </c>
    </row>
    <row r="118" spans="1:17" s="132" customFormat="1" ht="12.75">
      <c r="A118" s="185" t="s">
        <v>36</v>
      </c>
      <c r="B118" s="186" t="s">
        <v>301</v>
      </c>
      <c r="C118" s="187">
        <v>1695</v>
      </c>
      <c r="D118" s="187"/>
      <c r="E118" s="189">
        <v>1695</v>
      </c>
      <c r="F118" s="187">
        <f t="shared" si="6"/>
        <v>1695</v>
      </c>
      <c r="G118" s="187"/>
      <c r="H118" s="189">
        <v>1695</v>
      </c>
      <c r="I118" s="181"/>
      <c r="J118" s="181"/>
      <c r="K118" s="181"/>
      <c r="L118" s="181"/>
      <c r="M118" s="181"/>
      <c r="N118" s="182"/>
      <c r="O118" s="190">
        <f t="shared" si="4"/>
        <v>100</v>
      </c>
      <c r="P118" s="190"/>
      <c r="Q118" s="190">
        <f t="shared" si="5"/>
        <v>100</v>
      </c>
    </row>
    <row r="119" spans="1:17" s="132" customFormat="1" ht="12.75">
      <c r="A119" s="185" t="s">
        <v>36</v>
      </c>
      <c r="B119" s="186" t="s">
        <v>302</v>
      </c>
      <c r="C119" s="187">
        <v>1121</v>
      </c>
      <c r="D119" s="179">
        <v>0</v>
      </c>
      <c r="E119" s="189">
        <v>1121</v>
      </c>
      <c r="F119" s="187">
        <f t="shared" si="6"/>
        <v>1121</v>
      </c>
      <c r="G119" s="179"/>
      <c r="H119" s="189">
        <v>1121</v>
      </c>
      <c r="I119" s="181"/>
      <c r="J119" s="181"/>
      <c r="K119" s="181"/>
      <c r="L119" s="181"/>
      <c r="M119" s="181"/>
      <c r="N119" s="182"/>
      <c r="O119" s="190">
        <f t="shared" si="4"/>
        <v>100</v>
      </c>
      <c r="P119" s="190"/>
      <c r="Q119" s="190">
        <f t="shared" si="5"/>
        <v>100</v>
      </c>
    </row>
    <row r="120" spans="1:17" s="132" customFormat="1" ht="12.75">
      <c r="A120" s="185" t="s">
        <v>36</v>
      </c>
      <c r="B120" s="186" t="s">
        <v>303</v>
      </c>
      <c r="C120" s="187">
        <v>132</v>
      </c>
      <c r="D120" s="179">
        <v>0</v>
      </c>
      <c r="E120" s="189">
        <v>132</v>
      </c>
      <c r="F120" s="187">
        <f t="shared" si="6"/>
        <v>132</v>
      </c>
      <c r="G120" s="179"/>
      <c r="H120" s="189">
        <v>132</v>
      </c>
      <c r="I120" s="181"/>
      <c r="J120" s="181"/>
      <c r="K120" s="181"/>
      <c r="L120" s="181"/>
      <c r="M120" s="181"/>
      <c r="N120" s="182"/>
      <c r="O120" s="190">
        <f t="shared" si="4"/>
        <v>100</v>
      </c>
      <c r="P120" s="190"/>
      <c r="Q120" s="190">
        <f t="shared" si="5"/>
        <v>100</v>
      </c>
    </row>
    <row r="121" spans="1:17" s="132" customFormat="1" ht="12.75">
      <c r="A121" s="185" t="s">
        <v>36</v>
      </c>
      <c r="B121" s="186" t="s">
        <v>304</v>
      </c>
      <c r="C121" s="187">
        <v>3257.5569999999998</v>
      </c>
      <c r="D121" s="187"/>
      <c r="E121" s="189">
        <v>3257.5569999999998</v>
      </c>
      <c r="F121" s="187">
        <f t="shared" si="6"/>
        <v>3257.5569999999998</v>
      </c>
      <c r="G121" s="187"/>
      <c r="H121" s="189">
        <f>2103.557+93+1061</f>
        <v>3257.5569999999998</v>
      </c>
      <c r="I121" s="181"/>
      <c r="J121" s="181"/>
      <c r="K121" s="181"/>
      <c r="L121" s="181"/>
      <c r="M121" s="181"/>
      <c r="N121" s="182"/>
      <c r="O121" s="190">
        <f t="shared" si="4"/>
        <v>100</v>
      </c>
      <c r="P121" s="190"/>
      <c r="Q121" s="190">
        <f t="shared" si="5"/>
        <v>100</v>
      </c>
    </row>
    <row r="122" spans="1:17" s="132" customFormat="1" ht="12.75">
      <c r="A122" s="185" t="s">
        <v>36</v>
      </c>
      <c r="B122" s="186" t="s">
        <v>305</v>
      </c>
      <c r="C122" s="187">
        <v>563</v>
      </c>
      <c r="D122" s="187"/>
      <c r="E122" s="189">
        <v>563</v>
      </c>
      <c r="F122" s="187">
        <f t="shared" si="6"/>
        <v>563</v>
      </c>
      <c r="G122" s="187"/>
      <c r="H122" s="189">
        <v>563</v>
      </c>
      <c r="I122" s="181"/>
      <c r="J122" s="181"/>
      <c r="K122" s="181"/>
      <c r="L122" s="181"/>
      <c r="M122" s="181"/>
      <c r="N122" s="182"/>
      <c r="O122" s="190">
        <f t="shared" si="4"/>
        <v>100</v>
      </c>
      <c r="P122" s="190"/>
      <c r="Q122" s="190">
        <f t="shared" si="5"/>
        <v>100</v>
      </c>
    </row>
    <row r="123" spans="1:17" s="132" customFormat="1" ht="12.75">
      <c r="A123" s="185" t="s">
        <v>36</v>
      </c>
      <c r="B123" s="186" t="s">
        <v>306</v>
      </c>
      <c r="C123" s="187">
        <v>2748.2049999999999</v>
      </c>
      <c r="D123" s="187"/>
      <c r="E123" s="189">
        <v>2748.2049999999999</v>
      </c>
      <c r="F123" s="187">
        <f t="shared" si="6"/>
        <v>2748.2049999999999</v>
      </c>
      <c r="G123" s="187"/>
      <c r="H123" s="189">
        <f>2048.205+700</f>
        <v>2748.2049999999999</v>
      </c>
      <c r="I123" s="181"/>
      <c r="J123" s="181"/>
      <c r="K123" s="181"/>
      <c r="L123" s="181"/>
      <c r="M123" s="181"/>
      <c r="N123" s="182"/>
      <c r="O123" s="190">
        <f t="shared" si="4"/>
        <v>100</v>
      </c>
      <c r="P123" s="190"/>
      <c r="Q123" s="190">
        <f t="shared" si="5"/>
        <v>100</v>
      </c>
    </row>
    <row r="124" spans="1:17" s="132" customFormat="1" ht="12.75">
      <c r="A124" s="185" t="s">
        <v>36</v>
      </c>
      <c r="B124" s="186" t="s">
        <v>307</v>
      </c>
      <c r="C124" s="187">
        <v>2538.2929999999997</v>
      </c>
      <c r="D124" s="187"/>
      <c r="E124" s="189">
        <v>2538.2929999999997</v>
      </c>
      <c r="F124" s="187">
        <f t="shared" si="6"/>
        <v>2538.2929999999997</v>
      </c>
      <c r="G124" s="187"/>
      <c r="H124" s="189">
        <f>1123.293+144+828+443</f>
        <v>2538.2929999999997</v>
      </c>
      <c r="I124" s="181"/>
      <c r="J124" s="181"/>
      <c r="K124" s="181"/>
      <c r="L124" s="181"/>
      <c r="M124" s="181"/>
      <c r="N124" s="182"/>
      <c r="O124" s="190">
        <f t="shared" si="4"/>
        <v>100</v>
      </c>
      <c r="P124" s="190"/>
      <c r="Q124" s="190">
        <f t="shared" si="5"/>
        <v>100</v>
      </c>
    </row>
    <row r="125" spans="1:17" s="132" customFormat="1" ht="12.75">
      <c r="A125" s="185"/>
      <c r="B125" s="186" t="s">
        <v>283</v>
      </c>
      <c r="C125" s="187">
        <v>0</v>
      </c>
      <c r="D125" s="187"/>
      <c r="E125" s="189"/>
      <c r="F125" s="187">
        <f t="shared" si="6"/>
        <v>0</v>
      </c>
      <c r="G125" s="187"/>
      <c r="H125" s="189"/>
      <c r="I125" s="181"/>
      <c r="J125" s="181"/>
      <c r="K125" s="181"/>
      <c r="L125" s="181"/>
      <c r="M125" s="181"/>
      <c r="N125" s="182"/>
      <c r="O125" s="190"/>
      <c r="P125" s="190"/>
      <c r="Q125" s="190"/>
    </row>
    <row r="126" spans="1:17" s="132" customFormat="1" ht="33.75" customHeight="1">
      <c r="A126" s="197" t="s">
        <v>259</v>
      </c>
      <c r="B126" s="183" t="s">
        <v>308</v>
      </c>
      <c r="C126" s="179">
        <v>84128.176999999996</v>
      </c>
      <c r="D126" s="179"/>
      <c r="E126" s="184">
        <v>84128.176999999996</v>
      </c>
      <c r="F126" s="179">
        <f t="shared" si="6"/>
        <v>129940.264</v>
      </c>
      <c r="G126" s="179"/>
      <c r="H126" s="184">
        <f>SUM(H127:H138)</f>
        <v>129940.264</v>
      </c>
      <c r="I126" s="181"/>
      <c r="J126" s="181"/>
      <c r="K126" s="181"/>
      <c r="L126" s="181"/>
      <c r="M126" s="181"/>
      <c r="N126" s="182"/>
      <c r="O126" s="190">
        <f t="shared" si="4"/>
        <v>154.45510485743677</v>
      </c>
      <c r="P126" s="190"/>
      <c r="Q126" s="190">
        <f t="shared" si="5"/>
        <v>154.45510485743677</v>
      </c>
    </row>
    <row r="127" spans="1:17" s="132" customFormat="1" ht="12.75">
      <c r="A127" s="185" t="s">
        <v>36</v>
      </c>
      <c r="B127" s="186" t="s">
        <v>309</v>
      </c>
      <c r="C127" s="187">
        <v>28920.311000000002</v>
      </c>
      <c r="D127" s="187"/>
      <c r="E127" s="189">
        <v>28920.311000000002</v>
      </c>
      <c r="F127" s="187">
        <f t="shared" si="6"/>
        <v>63636.456999999995</v>
      </c>
      <c r="G127" s="187"/>
      <c r="H127" s="189">
        <f>28891.457+34745</f>
        <v>63636.456999999995</v>
      </c>
      <c r="I127" s="181"/>
      <c r="J127" s="181"/>
      <c r="K127" s="181"/>
      <c r="L127" s="181"/>
      <c r="M127" s="181"/>
      <c r="N127" s="182"/>
      <c r="O127" s="190">
        <f t="shared" si="4"/>
        <v>220.04070772267971</v>
      </c>
      <c r="P127" s="190"/>
      <c r="Q127" s="190">
        <f t="shared" si="5"/>
        <v>220.04070772267971</v>
      </c>
    </row>
    <row r="128" spans="1:17" s="132" customFormat="1" ht="12.75">
      <c r="A128" s="185" t="s">
        <v>36</v>
      </c>
      <c r="B128" s="186" t="s">
        <v>299</v>
      </c>
      <c r="C128" s="187">
        <v>10356.644</v>
      </c>
      <c r="D128" s="187"/>
      <c r="E128" s="189">
        <v>10356.644</v>
      </c>
      <c r="F128" s="187">
        <f t="shared" si="6"/>
        <v>12407.644</v>
      </c>
      <c r="G128" s="187"/>
      <c r="H128" s="189">
        <f>10356.644+157+1894</f>
        <v>12407.644</v>
      </c>
      <c r="I128" s="181"/>
      <c r="J128" s="181"/>
      <c r="K128" s="181"/>
      <c r="L128" s="181"/>
      <c r="M128" s="181"/>
      <c r="N128" s="182"/>
      <c r="O128" s="190">
        <f t="shared" si="4"/>
        <v>119.80371247674439</v>
      </c>
      <c r="P128" s="190"/>
      <c r="Q128" s="190">
        <f t="shared" si="5"/>
        <v>119.80371247674439</v>
      </c>
    </row>
    <row r="129" spans="1:17" s="132" customFormat="1" ht="12.75">
      <c r="A129" s="185" t="s">
        <v>36</v>
      </c>
      <c r="B129" s="186" t="s">
        <v>300</v>
      </c>
      <c r="C129" s="187">
        <v>4325.1679999999997</v>
      </c>
      <c r="D129" s="187"/>
      <c r="E129" s="189">
        <v>4325.1679999999997</v>
      </c>
      <c r="F129" s="187">
        <f t="shared" si="6"/>
        <v>5003.3109999999997</v>
      </c>
      <c r="G129" s="187"/>
      <c r="H129" s="189">
        <f>3877.311+92+1034</f>
        <v>5003.3109999999997</v>
      </c>
      <c r="I129" s="181"/>
      <c r="J129" s="181"/>
      <c r="K129" s="181"/>
      <c r="L129" s="181"/>
      <c r="M129" s="181"/>
      <c r="N129" s="182"/>
      <c r="O129" s="190">
        <f t="shared" si="4"/>
        <v>115.67899790250922</v>
      </c>
      <c r="P129" s="190"/>
      <c r="Q129" s="190">
        <f t="shared" si="5"/>
        <v>115.67899790250922</v>
      </c>
    </row>
    <row r="130" spans="1:17" s="132" customFormat="1" ht="12.75">
      <c r="A130" s="185" t="s">
        <v>36</v>
      </c>
      <c r="B130" s="186" t="s">
        <v>301</v>
      </c>
      <c r="C130" s="187">
        <v>5186.268</v>
      </c>
      <c r="D130" s="187"/>
      <c r="E130" s="189">
        <v>5186.268</v>
      </c>
      <c r="F130" s="187">
        <f t="shared" si="6"/>
        <v>6550.7830000000004</v>
      </c>
      <c r="G130" s="187"/>
      <c r="H130" s="189">
        <f>5185.783+118+1247</f>
        <v>6550.7830000000004</v>
      </c>
      <c r="I130" s="181"/>
      <c r="J130" s="181"/>
      <c r="K130" s="181"/>
      <c r="L130" s="181"/>
      <c r="M130" s="181"/>
      <c r="N130" s="182"/>
      <c r="O130" s="190">
        <f t="shared" si="4"/>
        <v>126.31015211709075</v>
      </c>
      <c r="P130" s="190"/>
      <c r="Q130" s="190">
        <f t="shared" si="5"/>
        <v>126.31015211709075</v>
      </c>
    </row>
    <row r="131" spans="1:17" s="132" customFormat="1" ht="12.75">
      <c r="A131" s="185" t="s">
        <v>36</v>
      </c>
      <c r="B131" s="186" t="s">
        <v>302</v>
      </c>
      <c r="C131" s="187">
        <v>5010.201</v>
      </c>
      <c r="D131" s="187"/>
      <c r="E131" s="189">
        <v>5010.201</v>
      </c>
      <c r="F131" s="187">
        <f t="shared" si="6"/>
        <v>6117.201</v>
      </c>
      <c r="G131" s="187"/>
      <c r="H131" s="189">
        <f>5010.201+160+947</f>
        <v>6117.201</v>
      </c>
      <c r="I131" s="181"/>
      <c r="J131" s="181"/>
      <c r="K131" s="181"/>
      <c r="L131" s="181"/>
      <c r="M131" s="181"/>
      <c r="N131" s="182"/>
      <c r="O131" s="190">
        <f t="shared" si="4"/>
        <v>122.09492194025748</v>
      </c>
      <c r="P131" s="190"/>
      <c r="Q131" s="190">
        <f t="shared" si="5"/>
        <v>122.09492194025748</v>
      </c>
    </row>
    <row r="132" spans="1:17" s="132" customFormat="1" ht="12.75">
      <c r="A132" s="185" t="s">
        <v>36</v>
      </c>
      <c r="B132" s="186" t="s">
        <v>303</v>
      </c>
      <c r="C132" s="187">
        <v>5714.732</v>
      </c>
      <c r="D132" s="187"/>
      <c r="E132" s="189">
        <v>5714.732</v>
      </c>
      <c r="F132" s="187">
        <f t="shared" si="6"/>
        <v>6675.732</v>
      </c>
      <c r="G132" s="187"/>
      <c r="H132" s="189">
        <f>5714.732+961</f>
        <v>6675.732</v>
      </c>
      <c r="I132" s="181"/>
      <c r="J132" s="181"/>
      <c r="K132" s="181"/>
      <c r="L132" s="181"/>
      <c r="M132" s="181"/>
      <c r="N132" s="182"/>
      <c r="O132" s="190">
        <f t="shared" si="4"/>
        <v>116.81618665582218</v>
      </c>
      <c r="P132" s="190"/>
      <c r="Q132" s="190">
        <f t="shared" si="5"/>
        <v>116.81618665582218</v>
      </c>
    </row>
    <row r="133" spans="1:17" s="132" customFormat="1" ht="12.75">
      <c r="A133" s="185" t="s">
        <v>36</v>
      </c>
      <c r="B133" s="186" t="s">
        <v>304</v>
      </c>
      <c r="C133" s="187">
        <v>5090.3689999999997</v>
      </c>
      <c r="D133" s="179">
        <v>0</v>
      </c>
      <c r="E133" s="189">
        <v>5090.3689999999997</v>
      </c>
      <c r="F133" s="187">
        <f t="shared" si="6"/>
        <v>5775.3689999999997</v>
      </c>
      <c r="G133" s="179"/>
      <c r="H133" s="189">
        <f>5090.369+685</f>
        <v>5775.3689999999997</v>
      </c>
      <c r="I133" s="181"/>
      <c r="J133" s="181"/>
      <c r="K133" s="181"/>
      <c r="L133" s="181"/>
      <c r="M133" s="181"/>
      <c r="N133" s="182"/>
      <c r="O133" s="190">
        <f t="shared" si="4"/>
        <v>113.45678476354071</v>
      </c>
      <c r="P133" s="190"/>
      <c r="Q133" s="190">
        <f t="shared" si="5"/>
        <v>113.45678476354071</v>
      </c>
    </row>
    <row r="134" spans="1:17" s="132" customFormat="1" ht="12.75">
      <c r="A134" s="185" t="s">
        <v>36</v>
      </c>
      <c r="B134" s="186" t="s">
        <v>305</v>
      </c>
      <c r="C134" s="187">
        <v>4613.9359999999997</v>
      </c>
      <c r="D134" s="187"/>
      <c r="E134" s="189">
        <v>4613.9359999999997</v>
      </c>
      <c r="F134" s="187">
        <f t="shared" si="6"/>
        <v>5943.2190000000001</v>
      </c>
      <c r="G134" s="187"/>
      <c r="H134" s="189">
        <f>4610.219+240+1093</f>
        <v>5943.2190000000001</v>
      </c>
      <c r="I134" s="181"/>
      <c r="J134" s="181"/>
      <c r="K134" s="181"/>
      <c r="L134" s="181"/>
      <c r="M134" s="181"/>
      <c r="N134" s="182"/>
      <c r="O134" s="190">
        <f t="shared" si="4"/>
        <v>128.8101742200152</v>
      </c>
      <c r="P134" s="190"/>
      <c r="Q134" s="190">
        <f t="shared" si="5"/>
        <v>128.8101742200152</v>
      </c>
    </row>
    <row r="135" spans="1:17" s="132" customFormat="1" ht="12.75">
      <c r="A135" s="185" t="s">
        <v>36</v>
      </c>
      <c r="B135" s="186" t="s">
        <v>310</v>
      </c>
      <c r="C135" s="187">
        <v>5125.3969999999999</v>
      </c>
      <c r="D135" s="187"/>
      <c r="E135" s="189">
        <v>5125.3969999999999</v>
      </c>
      <c r="F135" s="187">
        <f t="shared" si="6"/>
        <v>6221.3969999999999</v>
      </c>
      <c r="G135" s="187"/>
      <c r="H135" s="189">
        <f>5125.397+1096</f>
        <v>6221.3969999999999</v>
      </c>
      <c r="I135" s="181"/>
      <c r="J135" s="181"/>
      <c r="K135" s="181"/>
      <c r="L135" s="181"/>
      <c r="M135" s="181"/>
      <c r="N135" s="182"/>
      <c r="O135" s="190">
        <f t="shared" si="4"/>
        <v>121.38370939851097</v>
      </c>
      <c r="P135" s="190"/>
      <c r="Q135" s="190">
        <f t="shared" si="5"/>
        <v>121.38370939851097</v>
      </c>
    </row>
    <row r="136" spans="1:17" s="132" customFormat="1" ht="12.75">
      <c r="A136" s="185" t="s">
        <v>36</v>
      </c>
      <c r="B136" s="186" t="s">
        <v>306</v>
      </c>
      <c r="C136" s="187">
        <v>4544.1180000000004</v>
      </c>
      <c r="D136" s="187"/>
      <c r="E136" s="189">
        <v>4544.1180000000004</v>
      </c>
      <c r="F136" s="187">
        <f t="shared" si="6"/>
        <v>5256.1180000000004</v>
      </c>
      <c r="G136" s="187"/>
      <c r="H136" s="189">
        <f>4544.118+712</f>
        <v>5256.1180000000004</v>
      </c>
      <c r="I136" s="181"/>
      <c r="J136" s="181"/>
      <c r="K136" s="181"/>
      <c r="L136" s="181"/>
      <c r="M136" s="181"/>
      <c r="N136" s="182"/>
      <c r="O136" s="190">
        <f t="shared" si="4"/>
        <v>115.66860719726029</v>
      </c>
      <c r="P136" s="190"/>
      <c r="Q136" s="190">
        <f t="shared" si="5"/>
        <v>115.66860719726029</v>
      </c>
    </row>
    <row r="137" spans="1:17" s="132" customFormat="1" ht="12.75">
      <c r="A137" s="185" t="s">
        <v>36</v>
      </c>
      <c r="B137" s="186" t="s">
        <v>307</v>
      </c>
      <c r="C137" s="187">
        <v>5141.0330000000004</v>
      </c>
      <c r="D137" s="187"/>
      <c r="E137" s="189">
        <v>5141.0330000000004</v>
      </c>
      <c r="F137" s="187">
        <f t="shared" si="6"/>
        <v>6253.0330000000004</v>
      </c>
      <c r="G137" s="187"/>
      <c r="H137" s="189">
        <f>5141.033+141+971</f>
        <v>6253.0330000000004</v>
      </c>
      <c r="I137" s="181"/>
      <c r="J137" s="181"/>
      <c r="K137" s="181"/>
      <c r="L137" s="181"/>
      <c r="M137" s="181"/>
      <c r="N137" s="182"/>
      <c r="O137" s="190">
        <f t="shared" ref="O137:O200" si="7">F137/C137*100</f>
        <v>121.62989422553794</v>
      </c>
      <c r="P137" s="190"/>
      <c r="Q137" s="190">
        <f t="shared" ref="Q137:Q200" si="8">H137/E137*100</f>
        <v>121.62989422553794</v>
      </c>
    </row>
    <row r="138" spans="1:17" s="132" customFormat="1" ht="12.75">
      <c r="A138" s="185" t="s">
        <v>36</v>
      </c>
      <c r="B138" s="186" t="s">
        <v>311</v>
      </c>
      <c r="C138" s="187">
        <v>100</v>
      </c>
      <c r="D138" s="187"/>
      <c r="E138" s="189">
        <v>100</v>
      </c>
      <c r="F138" s="187">
        <f t="shared" ref="F138:F201" si="9">G138+H138+I138+J138+K138+N138</f>
        <v>100</v>
      </c>
      <c r="G138" s="187"/>
      <c r="H138" s="189">
        <v>100</v>
      </c>
      <c r="I138" s="181"/>
      <c r="J138" s="181"/>
      <c r="K138" s="181"/>
      <c r="L138" s="181"/>
      <c r="M138" s="181"/>
      <c r="N138" s="182"/>
      <c r="O138" s="190">
        <f t="shared" si="7"/>
        <v>100</v>
      </c>
      <c r="P138" s="190"/>
      <c r="Q138" s="190">
        <f t="shared" si="8"/>
        <v>100</v>
      </c>
    </row>
    <row r="139" spans="1:17" s="132" customFormat="1" ht="33.75" customHeight="1">
      <c r="A139" s="197" t="s">
        <v>312</v>
      </c>
      <c r="B139" s="183" t="s">
        <v>313</v>
      </c>
      <c r="C139" s="179">
        <v>10512</v>
      </c>
      <c r="D139" s="179"/>
      <c r="E139" s="184">
        <v>10512</v>
      </c>
      <c r="F139" s="179">
        <f t="shared" si="9"/>
        <v>10226.433999999999</v>
      </c>
      <c r="G139" s="179"/>
      <c r="H139" s="184">
        <f>SUM(H140:H144)</f>
        <v>10226.433999999999</v>
      </c>
      <c r="I139" s="181"/>
      <c r="J139" s="181"/>
      <c r="K139" s="181"/>
      <c r="L139" s="181"/>
      <c r="M139" s="181"/>
      <c r="N139" s="182"/>
      <c r="O139" s="190">
        <f t="shared" si="7"/>
        <v>97.283428462709281</v>
      </c>
      <c r="P139" s="190"/>
      <c r="Q139" s="190">
        <f t="shared" si="8"/>
        <v>97.283428462709281</v>
      </c>
    </row>
    <row r="140" spans="1:17" s="132" customFormat="1" ht="25.5">
      <c r="A140" s="185" t="s">
        <v>36</v>
      </c>
      <c r="B140" s="186" t="s">
        <v>314</v>
      </c>
      <c r="C140" s="187">
        <v>4031.8870000000002</v>
      </c>
      <c r="D140" s="187"/>
      <c r="E140" s="189">
        <v>4031.8870000000002</v>
      </c>
      <c r="F140" s="187">
        <f t="shared" si="9"/>
        <v>4031.8870000000002</v>
      </c>
      <c r="G140" s="187"/>
      <c r="H140" s="189">
        <v>4031.8870000000002</v>
      </c>
      <c r="I140" s="181"/>
      <c r="J140" s="181"/>
      <c r="K140" s="181"/>
      <c r="L140" s="181"/>
      <c r="M140" s="181"/>
      <c r="N140" s="182"/>
      <c r="O140" s="190">
        <f t="shared" si="7"/>
        <v>100</v>
      </c>
      <c r="P140" s="190"/>
      <c r="Q140" s="190">
        <f t="shared" si="8"/>
        <v>100</v>
      </c>
    </row>
    <row r="141" spans="1:17" s="132" customFormat="1" ht="12.75">
      <c r="A141" s="185" t="s">
        <v>36</v>
      </c>
      <c r="B141" s="186" t="s">
        <v>315</v>
      </c>
      <c r="C141" s="187">
        <v>2334.598</v>
      </c>
      <c r="D141" s="187"/>
      <c r="E141" s="189">
        <v>2334.598</v>
      </c>
      <c r="F141" s="187">
        <f t="shared" si="9"/>
        <v>2334.598</v>
      </c>
      <c r="G141" s="187"/>
      <c r="H141" s="189">
        <v>2334.598</v>
      </c>
      <c r="I141" s="181"/>
      <c r="J141" s="181"/>
      <c r="K141" s="181"/>
      <c r="L141" s="181"/>
      <c r="M141" s="181"/>
      <c r="N141" s="182"/>
      <c r="O141" s="190">
        <f t="shared" si="7"/>
        <v>100</v>
      </c>
      <c r="P141" s="190"/>
      <c r="Q141" s="190">
        <f t="shared" si="8"/>
        <v>100</v>
      </c>
    </row>
    <row r="142" spans="1:17" s="132" customFormat="1" ht="12.75">
      <c r="A142" s="185" t="s">
        <v>36</v>
      </c>
      <c r="B142" s="186" t="s">
        <v>316</v>
      </c>
      <c r="C142" s="187">
        <v>1583.5150000000001</v>
      </c>
      <c r="D142" s="187"/>
      <c r="E142" s="189">
        <v>1583.5150000000001</v>
      </c>
      <c r="F142" s="187">
        <f t="shared" si="9"/>
        <v>1583.5150000000001</v>
      </c>
      <c r="G142" s="187"/>
      <c r="H142" s="189">
        <v>1583.5150000000001</v>
      </c>
      <c r="I142" s="181"/>
      <c r="J142" s="181"/>
      <c r="K142" s="181"/>
      <c r="L142" s="181"/>
      <c r="M142" s="181"/>
      <c r="N142" s="182"/>
      <c r="O142" s="190">
        <f t="shared" si="7"/>
        <v>100</v>
      </c>
      <c r="P142" s="190"/>
      <c r="Q142" s="190">
        <f t="shared" si="8"/>
        <v>100</v>
      </c>
    </row>
    <row r="143" spans="1:17" s="132" customFormat="1" ht="12.75">
      <c r="A143" s="185" t="s">
        <v>36</v>
      </c>
      <c r="B143" s="186" t="s">
        <v>309</v>
      </c>
      <c r="C143" s="187">
        <v>1350</v>
      </c>
      <c r="D143" s="187"/>
      <c r="E143" s="189">
        <v>1350</v>
      </c>
      <c r="F143" s="187">
        <f t="shared" si="9"/>
        <v>1350</v>
      </c>
      <c r="G143" s="187"/>
      <c r="H143" s="189">
        <v>1350</v>
      </c>
      <c r="I143" s="181"/>
      <c r="J143" s="181"/>
      <c r="K143" s="181"/>
      <c r="L143" s="181"/>
      <c r="M143" s="181"/>
      <c r="N143" s="182"/>
      <c r="O143" s="190">
        <f t="shared" si="7"/>
        <v>100</v>
      </c>
      <c r="P143" s="190"/>
      <c r="Q143" s="190">
        <f t="shared" si="8"/>
        <v>100</v>
      </c>
    </row>
    <row r="144" spans="1:17" s="132" customFormat="1" ht="12.75">
      <c r="A144" s="185" t="s">
        <v>36</v>
      </c>
      <c r="B144" s="186" t="s">
        <v>317</v>
      </c>
      <c r="C144" s="187">
        <v>1170</v>
      </c>
      <c r="D144" s="187"/>
      <c r="E144" s="189">
        <v>1170</v>
      </c>
      <c r="F144" s="187">
        <f t="shared" si="9"/>
        <v>926.43399999999997</v>
      </c>
      <c r="G144" s="187"/>
      <c r="H144" s="189">
        <v>926.43399999999997</v>
      </c>
      <c r="I144" s="181"/>
      <c r="J144" s="181"/>
      <c r="K144" s="181"/>
      <c r="L144" s="181"/>
      <c r="M144" s="181"/>
      <c r="N144" s="182"/>
      <c r="O144" s="190">
        <f t="shared" si="7"/>
        <v>79.182393162393154</v>
      </c>
      <c r="P144" s="190"/>
      <c r="Q144" s="190">
        <f t="shared" si="8"/>
        <v>79.182393162393154</v>
      </c>
    </row>
    <row r="145" spans="1:17" s="132" customFormat="1" ht="25.5">
      <c r="A145" s="185" t="s">
        <v>196</v>
      </c>
      <c r="B145" s="186" t="s">
        <v>318</v>
      </c>
      <c r="C145" s="187">
        <v>386.58</v>
      </c>
      <c r="D145" s="187"/>
      <c r="E145" s="189">
        <v>386.58</v>
      </c>
      <c r="F145" s="187">
        <f t="shared" si="9"/>
        <v>386.58</v>
      </c>
      <c r="G145" s="187"/>
      <c r="H145" s="189">
        <v>386.58</v>
      </c>
      <c r="I145" s="181"/>
      <c r="J145" s="181"/>
      <c r="K145" s="181"/>
      <c r="L145" s="181"/>
      <c r="M145" s="181"/>
      <c r="N145" s="182"/>
      <c r="O145" s="190">
        <f t="shared" si="7"/>
        <v>100</v>
      </c>
      <c r="P145" s="190"/>
      <c r="Q145" s="190">
        <f t="shared" si="8"/>
        <v>100</v>
      </c>
    </row>
    <row r="146" spans="1:17" s="132" customFormat="1" ht="12.75">
      <c r="A146" s="185" t="s">
        <v>196</v>
      </c>
      <c r="B146" s="186" t="s">
        <v>319</v>
      </c>
      <c r="C146" s="187">
        <v>39.6</v>
      </c>
      <c r="D146" s="187"/>
      <c r="E146" s="189">
        <v>39.6</v>
      </c>
      <c r="F146" s="187">
        <f t="shared" si="9"/>
        <v>38.1</v>
      </c>
      <c r="G146" s="187"/>
      <c r="H146" s="189">
        <v>38.1</v>
      </c>
      <c r="I146" s="181"/>
      <c r="J146" s="181"/>
      <c r="K146" s="181"/>
      <c r="L146" s="181"/>
      <c r="M146" s="181"/>
      <c r="N146" s="182"/>
      <c r="O146" s="190">
        <f t="shared" si="7"/>
        <v>96.212121212121218</v>
      </c>
      <c r="P146" s="190"/>
      <c r="Q146" s="190">
        <f t="shared" si="8"/>
        <v>96.212121212121218</v>
      </c>
    </row>
    <row r="147" spans="1:17" s="132" customFormat="1" ht="12.75">
      <c r="A147" s="185" t="s">
        <v>196</v>
      </c>
      <c r="B147" s="186" t="s">
        <v>300</v>
      </c>
      <c r="C147" s="187">
        <v>191.142</v>
      </c>
      <c r="D147" s="187"/>
      <c r="E147" s="189">
        <v>191.142</v>
      </c>
      <c r="F147" s="187">
        <f t="shared" si="9"/>
        <v>176.56800000000001</v>
      </c>
      <c r="G147" s="187"/>
      <c r="H147" s="189">
        <v>176.56800000000001</v>
      </c>
      <c r="I147" s="181"/>
      <c r="J147" s="181"/>
      <c r="K147" s="181"/>
      <c r="L147" s="181"/>
      <c r="M147" s="181"/>
      <c r="N147" s="182"/>
      <c r="O147" s="190">
        <f t="shared" si="7"/>
        <v>92.375302131399707</v>
      </c>
      <c r="P147" s="190"/>
      <c r="Q147" s="190">
        <f t="shared" si="8"/>
        <v>92.375302131399707</v>
      </c>
    </row>
    <row r="148" spans="1:17" s="132" customFormat="1" ht="12.75">
      <c r="A148" s="185" t="s">
        <v>196</v>
      </c>
      <c r="B148" s="186" t="s">
        <v>301</v>
      </c>
      <c r="C148" s="187">
        <v>62.493000000000002</v>
      </c>
      <c r="D148" s="187"/>
      <c r="E148" s="189">
        <v>62.493000000000002</v>
      </c>
      <c r="F148" s="187">
        <f t="shared" si="9"/>
        <v>17.95</v>
      </c>
      <c r="G148" s="187"/>
      <c r="H148" s="189">
        <v>17.95</v>
      </c>
      <c r="I148" s="181"/>
      <c r="J148" s="181"/>
      <c r="K148" s="181"/>
      <c r="L148" s="181"/>
      <c r="M148" s="181"/>
      <c r="N148" s="182"/>
      <c r="O148" s="190">
        <f t="shared" si="7"/>
        <v>28.723217000304029</v>
      </c>
      <c r="P148" s="190"/>
      <c r="Q148" s="190">
        <f t="shared" si="8"/>
        <v>28.723217000304029</v>
      </c>
    </row>
    <row r="149" spans="1:17" s="132" customFormat="1" ht="12.75">
      <c r="A149" s="185" t="s">
        <v>196</v>
      </c>
      <c r="B149" s="186" t="s">
        <v>302</v>
      </c>
      <c r="C149" s="187">
        <v>50.595999999999997</v>
      </c>
      <c r="D149" s="179">
        <v>0</v>
      </c>
      <c r="E149" s="189">
        <v>50.595999999999997</v>
      </c>
      <c r="F149" s="187">
        <f t="shared" si="9"/>
        <v>50.595999999999997</v>
      </c>
      <c r="G149" s="179"/>
      <c r="H149" s="189">
        <v>50.595999999999997</v>
      </c>
      <c r="I149" s="181"/>
      <c r="J149" s="181"/>
      <c r="K149" s="181"/>
      <c r="L149" s="181"/>
      <c r="M149" s="181"/>
      <c r="N149" s="182"/>
      <c r="O149" s="190">
        <f t="shared" si="7"/>
        <v>100</v>
      </c>
      <c r="P149" s="190"/>
      <c r="Q149" s="190">
        <f t="shared" si="8"/>
        <v>100</v>
      </c>
    </row>
    <row r="150" spans="1:17" s="132" customFormat="1" ht="12.75">
      <c r="A150" s="185" t="s">
        <v>196</v>
      </c>
      <c r="B150" s="186" t="s">
        <v>303</v>
      </c>
      <c r="C150" s="187">
        <v>166.71600000000001</v>
      </c>
      <c r="D150" s="187"/>
      <c r="E150" s="189">
        <v>166.71600000000001</v>
      </c>
      <c r="F150" s="187">
        <f t="shared" si="9"/>
        <v>31.207999999999998</v>
      </c>
      <c r="G150" s="187"/>
      <c r="H150" s="189">
        <v>31.207999999999998</v>
      </c>
      <c r="I150" s="181"/>
      <c r="J150" s="181"/>
      <c r="K150" s="181"/>
      <c r="L150" s="181"/>
      <c r="M150" s="181"/>
      <c r="N150" s="182"/>
      <c r="O150" s="190">
        <f t="shared" si="7"/>
        <v>18.719259099306605</v>
      </c>
      <c r="P150" s="190"/>
      <c r="Q150" s="190">
        <f t="shared" si="8"/>
        <v>18.719259099306605</v>
      </c>
    </row>
    <row r="151" spans="1:17" s="132" customFormat="1" ht="12.75">
      <c r="A151" s="185" t="s">
        <v>196</v>
      </c>
      <c r="B151" s="186" t="s">
        <v>304</v>
      </c>
      <c r="C151" s="187">
        <v>44.423999999999999</v>
      </c>
      <c r="D151" s="187"/>
      <c r="E151" s="189">
        <v>44.423999999999999</v>
      </c>
      <c r="F151" s="187">
        <f t="shared" si="9"/>
        <v>29.05</v>
      </c>
      <c r="G151" s="187"/>
      <c r="H151" s="189">
        <v>29.05</v>
      </c>
      <c r="I151" s="181"/>
      <c r="J151" s="181"/>
      <c r="K151" s="181"/>
      <c r="L151" s="181"/>
      <c r="M151" s="181"/>
      <c r="N151" s="182"/>
      <c r="O151" s="190">
        <f t="shared" si="7"/>
        <v>65.392580587070057</v>
      </c>
      <c r="P151" s="190"/>
      <c r="Q151" s="190">
        <f t="shared" si="8"/>
        <v>65.392580587070057</v>
      </c>
    </row>
    <row r="152" spans="1:17" s="132" customFormat="1" ht="12.75">
      <c r="A152" s="185" t="s">
        <v>196</v>
      </c>
      <c r="B152" s="186" t="s">
        <v>305</v>
      </c>
      <c r="C152" s="187">
        <v>64.024000000000001</v>
      </c>
      <c r="D152" s="187"/>
      <c r="E152" s="199">
        <v>64.024000000000001</v>
      </c>
      <c r="F152" s="187">
        <f t="shared" si="9"/>
        <v>64.024000000000001</v>
      </c>
      <c r="G152" s="187"/>
      <c r="H152" s="189">
        <v>64.024000000000001</v>
      </c>
      <c r="I152" s="181"/>
      <c r="J152" s="181"/>
      <c r="K152" s="181"/>
      <c r="L152" s="181"/>
      <c r="M152" s="181"/>
      <c r="N152" s="182"/>
      <c r="O152" s="190">
        <f t="shared" si="7"/>
        <v>100</v>
      </c>
      <c r="P152" s="190"/>
      <c r="Q152" s="190">
        <f t="shared" si="8"/>
        <v>100</v>
      </c>
    </row>
    <row r="153" spans="1:17" s="132" customFormat="1" ht="12.75">
      <c r="A153" s="185" t="s">
        <v>196</v>
      </c>
      <c r="B153" s="186" t="s">
        <v>310</v>
      </c>
      <c r="C153" s="187">
        <v>47.603000000000002</v>
      </c>
      <c r="D153" s="187"/>
      <c r="E153" s="189">
        <v>47.603000000000002</v>
      </c>
      <c r="F153" s="187">
        <f t="shared" si="9"/>
        <v>47.603000000000002</v>
      </c>
      <c r="G153" s="187"/>
      <c r="H153" s="189">
        <v>47.603000000000002</v>
      </c>
      <c r="I153" s="181"/>
      <c r="J153" s="181"/>
      <c r="K153" s="181"/>
      <c r="L153" s="181"/>
      <c r="M153" s="181"/>
      <c r="N153" s="182"/>
      <c r="O153" s="190">
        <f t="shared" si="7"/>
        <v>100</v>
      </c>
      <c r="P153" s="190"/>
      <c r="Q153" s="190">
        <f t="shared" si="8"/>
        <v>100</v>
      </c>
    </row>
    <row r="154" spans="1:17" s="132" customFormat="1" ht="12.75">
      <c r="A154" s="185" t="s">
        <v>196</v>
      </c>
      <c r="B154" s="186" t="s">
        <v>306</v>
      </c>
      <c r="C154" s="187">
        <v>34.345999999999997</v>
      </c>
      <c r="D154" s="187"/>
      <c r="E154" s="189">
        <v>34.345999999999997</v>
      </c>
      <c r="F154" s="187">
        <f t="shared" si="9"/>
        <v>18.146000000000001</v>
      </c>
      <c r="G154" s="187"/>
      <c r="H154" s="189">
        <v>18.146000000000001</v>
      </c>
      <c r="I154" s="181"/>
      <c r="J154" s="181"/>
      <c r="K154" s="181"/>
      <c r="L154" s="181"/>
      <c r="M154" s="181"/>
      <c r="N154" s="182"/>
      <c r="O154" s="190">
        <f t="shared" si="7"/>
        <v>52.832935421883199</v>
      </c>
      <c r="P154" s="190"/>
      <c r="Q154" s="190">
        <f t="shared" si="8"/>
        <v>52.832935421883199</v>
      </c>
    </row>
    <row r="155" spans="1:17" s="132" customFormat="1" ht="12.75">
      <c r="A155" s="185" t="s">
        <v>196</v>
      </c>
      <c r="B155" s="186" t="s">
        <v>307</v>
      </c>
      <c r="C155" s="187">
        <v>82.475999999999999</v>
      </c>
      <c r="D155" s="187"/>
      <c r="E155" s="189">
        <v>82.475999999999999</v>
      </c>
      <c r="F155" s="187">
        <f t="shared" si="9"/>
        <v>66.608999999999995</v>
      </c>
      <c r="G155" s="187"/>
      <c r="H155" s="189">
        <v>66.608999999999995</v>
      </c>
      <c r="I155" s="181"/>
      <c r="J155" s="181"/>
      <c r="K155" s="181"/>
      <c r="L155" s="181"/>
      <c r="M155" s="181"/>
      <c r="N155" s="182"/>
      <c r="O155" s="190">
        <f t="shared" si="7"/>
        <v>80.761676123963326</v>
      </c>
      <c r="P155" s="190"/>
      <c r="Q155" s="190">
        <f t="shared" si="8"/>
        <v>80.761676123963326</v>
      </c>
    </row>
    <row r="156" spans="1:17" s="132" customFormat="1" ht="33.75" customHeight="1">
      <c r="A156" s="197" t="s">
        <v>320</v>
      </c>
      <c r="B156" s="183" t="s">
        <v>321</v>
      </c>
      <c r="C156" s="179">
        <v>5000</v>
      </c>
      <c r="D156" s="179"/>
      <c r="E156" s="184">
        <v>5000</v>
      </c>
      <c r="F156" s="179">
        <f t="shared" si="9"/>
        <v>5000</v>
      </c>
      <c r="G156" s="179"/>
      <c r="H156" s="184">
        <v>5000</v>
      </c>
      <c r="I156" s="181"/>
      <c r="J156" s="181"/>
      <c r="K156" s="181"/>
      <c r="L156" s="181"/>
      <c r="M156" s="181"/>
      <c r="N156" s="182"/>
      <c r="O156" s="190">
        <f t="shared" si="7"/>
        <v>100</v>
      </c>
      <c r="P156" s="190"/>
      <c r="Q156" s="190">
        <f t="shared" si="8"/>
        <v>100</v>
      </c>
    </row>
    <row r="157" spans="1:17" s="132" customFormat="1" ht="33.75" customHeight="1">
      <c r="A157" s="197" t="s">
        <v>322</v>
      </c>
      <c r="B157" s="183" t="s">
        <v>323</v>
      </c>
      <c r="C157" s="179">
        <v>169175</v>
      </c>
      <c r="D157" s="179"/>
      <c r="E157" s="184">
        <v>169175</v>
      </c>
      <c r="F157" s="179">
        <f t="shared" si="9"/>
        <v>174822.50599999999</v>
      </c>
      <c r="G157" s="179"/>
      <c r="H157" s="184">
        <f>SUM(H158:H167)</f>
        <v>174822.50599999999</v>
      </c>
      <c r="I157" s="181"/>
      <c r="J157" s="181"/>
      <c r="K157" s="181"/>
      <c r="L157" s="181"/>
      <c r="M157" s="181"/>
      <c r="N157" s="182"/>
      <c r="O157" s="190">
        <f t="shared" si="7"/>
        <v>103.33826274567754</v>
      </c>
      <c r="P157" s="190"/>
      <c r="Q157" s="190">
        <f t="shared" si="8"/>
        <v>103.33826274567754</v>
      </c>
    </row>
    <row r="158" spans="1:17" s="132" customFormat="1" ht="13.5">
      <c r="A158" s="200" t="s">
        <v>36</v>
      </c>
      <c r="B158" s="186" t="s">
        <v>299</v>
      </c>
      <c r="C158" s="187">
        <v>17767.877</v>
      </c>
      <c r="D158" s="187"/>
      <c r="E158" s="189">
        <v>17767.877</v>
      </c>
      <c r="F158" s="187">
        <f t="shared" si="9"/>
        <v>17844.47</v>
      </c>
      <c r="G158" s="187"/>
      <c r="H158" s="189">
        <f>17496.47+348</f>
        <v>17844.47</v>
      </c>
      <c r="I158" s="181"/>
      <c r="J158" s="181"/>
      <c r="K158" s="181"/>
      <c r="L158" s="181"/>
      <c r="M158" s="181"/>
      <c r="N158" s="182"/>
      <c r="O158" s="190">
        <f t="shared" si="7"/>
        <v>100.43107569913951</v>
      </c>
      <c r="P158" s="190"/>
      <c r="Q158" s="190">
        <f t="shared" si="8"/>
        <v>100.43107569913951</v>
      </c>
    </row>
    <row r="159" spans="1:17" s="132" customFormat="1" ht="12.75">
      <c r="A159" s="185" t="s">
        <v>36</v>
      </c>
      <c r="B159" s="186" t="s">
        <v>300</v>
      </c>
      <c r="C159" s="187">
        <v>17511.2857</v>
      </c>
      <c r="D159" s="187"/>
      <c r="E159" s="189">
        <v>17511.2857</v>
      </c>
      <c r="F159" s="187">
        <f t="shared" si="9"/>
        <v>17763.830000000002</v>
      </c>
      <c r="G159" s="187"/>
      <c r="H159" s="189">
        <f>16445.83+1318</f>
        <v>17763.830000000002</v>
      </c>
      <c r="I159" s="181"/>
      <c r="J159" s="181"/>
      <c r="K159" s="181"/>
      <c r="L159" s="181"/>
      <c r="M159" s="181"/>
      <c r="N159" s="182"/>
      <c r="O159" s="190">
        <f t="shared" si="7"/>
        <v>101.44218022780589</v>
      </c>
      <c r="P159" s="190"/>
      <c r="Q159" s="190">
        <f t="shared" si="8"/>
        <v>101.44218022780589</v>
      </c>
    </row>
    <row r="160" spans="1:17" s="132" customFormat="1" ht="12.75">
      <c r="A160" s="185" t="s">
        <v>36</v>
      </c>
      <c r="B160" s="186" t="s">
        <v>301</v>
      </c>
      <c r="C160" s="187">
        <v>17839.722881000002</v>
      </c>
      <c r="D160" s="187"/>
      <c r="E160" s="189">
        <v>17839.722881000002</v>
      </c>
      <c r="F160" s="187">
        <f t="shared" si="9"/>
        <v>17856.787</v>
      </c>
      <c r="G160" s="187"/>
      <c r="H160" s="189">
        <f>17745.787+111</f>
        <v>17856.787</v>
      </c>
      <c r="I160" s="181"/>
      <c r="J160" s="181"/>
      <c r="K160" s="181"/>
      <c r="L160" s="181"/>
      <c r="M160" s="181"/>
      <c r="N160" s="182"/>
      <c r="O160" s="190">
        <f t="shared" si="7"/>
        <v>100.09565237707909</v>
      </c>
      <c r="P160" s="190"/>
      <c r="Q160" s="190">
        <f t="shared" si="8"/>
        <v>100.09565237707909</v>
      </c>
    </row>
    <row r="161" spans="1:17" s="132" customFormat="1" ht="12.75">
      <c r="A161" s="185" t="s">
        <v>36</v>
      </c>
      <c r="B161" s="186" t="s">
        <v>302</v>
      </c>
      <c r="C161" s="187">
        <v>18630.488000000001</v>
      </c>
      <c r="D161" s="187"/>
      <c r="E161" s="189">
        <v>18630.488000000001</v>
      </c>
      <c r="F161" s="187">
        <f t="shared" si="9"/>
        <v>19459.379000000001</v>
      </c>
      <c r="G161" s="187"/>
      <c r="H161" s="189">
        <f>18626.379+833</f>
        <v>19459.379000000001</v>
      </c>
      <c r="I161" s="181"/>
      <c r="J161" s="181"/>
      <c r="K161" s="181"/>
      <c r="L161" s="181"/>
      <c r="M161" s="181"/>
      <c r="N161" s="182"/>
      <c r="O161" s="190">
        <f t="shared" si="7"/>
        <v>104.449110511759</v>
      </c>
      <c r="P161" s="190"/>
      <c r="Q161" s="190">
        <f t="shared" si="8"/>
        <v>104.449110511759</v>
      </c>
    </row>
    <row r="162" spans="1:17" s="132" customFormat="1" ht="12.75">
      <c r="A162" s="185" t="s">
        <v>36</v>
      </c>
      <c r="B162" s="186" t="s">
        <v>303</v>
      </c>
      <c r="C162" s="187">
        <v>26152.039000000001</v>
      </c>
      <c r="D162" s="187"/>
      <c r="E162" s="189">
        <v>26152.039000000001</v>
      </c>
      <c r="F162" s="187">
        <f t="shared" si="9"/>
        <v>26895.597000000002</v>
      </c>
      <c r="G162" s="187"/>
      <c r="H162" s="189">
        <f>25648.597+1247</f>
        <v>26895.597000000002</v>
      </c>
      <c r="I162" s="181"/>
      <c r="J162" s="181"/>
      <c r="K162" s="181"/>
      <c r="L162" s="181"/>
      <c r="M162" s="181"/>
      <c r="N162" s="182"/>
      <c r="O162" s="190">
        <f t="shared" si="7"/>
        <v>102.84321233996326</v>
      </c>
      <c r="P162" s="190"/>
      <c r="Q162" s="190">
        <f t="shared" si="8"/>
        <v>102.84321233996326</v>
      </c>
    </row>
    <row r="163" spans="1:17" s="132" customFormat="1" ht="12.75">
      <c r="A163" s="185" t="s">
        <v>36</v>
      </c>
      <c r="B163" s="186" t="s">
        <v>304</v>
      </c>
      <c r="C163" s="187">
        <v>12220.25</v>
      </c>
      <c r="D163" s="187"/>
      <c r="E163" s="189">
        <v>12220.25</v>
      </c>
      <c r="F163" s="187">
        <f t="shared" si="9"/>
        <v>12531.25</v>
      </c>
      <c r="G163" s="187"/>
      <c r="H163" s="189">
        <f>12220.25+311</f>
        <v>12531.25</v>
      </c>
      <c r="I163" s="181"/>
      <c r="J163" s="181"/>
      <c r="K163" s="181"/>
      <c r="L163" s="181"/>
      <c r="M163" s="181"/>
      <c r="N163" s="182"/>
      <c r="O163" s="190">
        <f t="shared" si="7"/>
        <v>102.54495611791903</v>
      </c>
      <c r="P163" s="190"/>
      <c r="Q163" s="190">
        <f t="shared" si="8"/>
        <v>102.54495611791903</v>
      </c>
    </row>
    <row r="164" spans="1:17" s="132" customFormat="1" ht="12.75">
      <c r="A164" s="185" t="s">
        <v>36</v>
      </c>
      <c r="B164" s="186" t="s">
        <v>305</v>
      </c>
      <c r="C164" s="187">
        <v>11316.68</v>
      </c>
      <c r="D164" s="187"/>
      <c r="E164" s="189">
        <v>11316.68</v>
      </c>
      <c r="F164" s="187">
        <f t="shared" si="9"/>
        <v>10996.031999999999</v>
      </c>
      <c r="G164" s="187"/>
      <c r="H164" s="189">
        <f>10477.032+519</f>
        <v>10996.031999999999</v>
      </c>
      <c r="I164" s="181"/>
      <c r="J164" s="181"/>
      <c r="K164" s="181"/>
      <c r="L164" s="181"/>
      <c r="M164" s="181"/>
      <c r="N164" s="182"/>
      <c r="O164" s="190">
        <f t="shared" si="7"/>
        <v>97.166589494445361</v>
      </c>
      <c r="P164" s="190"/>
      <c r="Q164" s="190">
        <f t="shared" si="8"/>
        <v>97.166589494445361</v>
      </c>
    </row>
    <row r="165" spans="1:17" s="132" customFormat="1" ht="12.75">
      <c r="A165" s="185" t="s">
        <v>36</v>
      </c>
      <c r="B165" s="191" t="s">
        <v>310</v>
      </c>
      <c r="C165" s="187">
        <v>26204.771100000002</v>
      </c>
      <c r="D165" s="187"/>
      <c r="E165" s="199">
        <v>26204.771100000002</v>
      </c>
      <c r="F165" s="187">
        <f t="shared" si="9"/>
        <v>25511.596000000001</v>
      </c>
      <c r="G165" s="187"/>
      <c r="H165" s="189">
        <v>25511.596000000001</v>
      </c>
      <c r="I165" s="181"/>
      <c r="J165" s="181"/>
      <c r="K165" s="181"/>
      <c r="L165" s="181"/>
      <c r="M165" s="181"/>
      <c r="N165" s="182"/>
      <c r="O165" s="190">
        <f t="shared" si="7"/>
        <v>97.354775214960753</v>
      </c>
      <c r="P165" s="190"/>
      <c r="Q165" s="190">
        <f t="shared" si="8"/>
        <v>97.354775214960753</v>
      </c>
    </row>
    <row r="166" spans="1:17" s="132" customFormat="1" ht="12.75">
      <c r="A166" s="185" t="s">
        <v>36</v>
      </c>
      <c r="B166" s="186" t="s">
        <v>306</v>
      </c>
      <c r="C166" s="187">
        <v>9725.9330000000009</v>
      </c>
      <c r="D166" s="187"/>
      <c r="E166" s="188">
        <v>9725.9330000000009</v>
      </c>
      <c r="F166" s="187">
        <f t="shared" si="9"/>
        <v>10771.869000000001</v>
      </c>
      <c r="G166" s="187"/>
      <c r="H166" s="188">
        <f>9675.869+1096</f>
        <v>10771.869000000001</v>
      </c>
      <c r="I166" s="181"/>
      <c r="J166" s="181"/>
      <c r="K166" s="181"/>
      <c r="L166" s="181"/>
      <c r="M166" s="181"/>
      <c r="N166" s="182"/>
      <c r="O166" s="190">
        <f t="shared" si="7"/>
        <v>110.75409423445544</v>
      </c>
      <c r="P166" s="190"/>
      <c r="Q166" s="190">
        <f t="shared" si="8"/>
        <v>110.75409423445544</v>
      </c>
    </row>
    <row r="167" spans="1:17" s="132" customFormat="1" ht="13.5">
      <c r="A167" s="200" t="s">
        <v>36</v>
      </c>
      <c r="B167" s="186" t="s">
        <v>307</v>
      </c>
      <c r="C167" s="187">
        <v>14280.696</v>
      </c>
      <c r="D167" s="179"/>
      <c r="E167" s="189">
        <v>14280.696</v>
      </c>
      <c r="F167" s="187">
        <f>G167+H167+I167+J167+K167+N167</f>
        <v>15191.696</v>
      </c>
      <c r="G167" s="179"/>
      <c r="H167" s="189">
        <f>14280.696+911</f>
        <v>15191.696</v>
      </c>
      <c r="I167" s="181"/>
      <c r="J167" s="181"/>
      <c r="K167" s="181"/>
      <c r="L167" s="181"/>
      <c r="M167" s="181"/>
      <c r="N167" s="182"/>
      <c r="O167" s="190">
        <f t="shared" si="7"/>
        <v>106.37924089974327</v>
      </c>
      <c r="P167" s="190"/>
      <c r="Q167" s="190">
        <f t="shared" si="8"/>
        <v>106.37924089974327</v>
      </c>
    </row>
    <row r="168" spans="1:17" s="132" customFormat="1" ht="33.75" customHeight="1">
      <c r="A168" s="197" t="s">
        <v>324</v>
      </c>
      <c r="B168" s="183" t="s">
        <v>325</v>
      </c>
      <c r="C168" s="179">
        <v>9488</v>
      </c>
      <c r="D168" s="179">
        <v>0</v>
      </c>
      <c r="E168" s="184">
        <v>9488</v>
      </c>
      <c r="F168" s="179">
        <f t="shared" si="9"/>
        <v>9488.0000000000018</v>
      </c>
      <c r="G168" s="179"/>
      <c r="H168" s="184">
        <f>SUM(H169:H178)</f>
        <v>9488.0000000000018</v>
      </c>
      <c r="I168" s="181"/>
      <c r="J168" s="181"/>
      <c r="K168" s="181"/>
      <c r="L168" s="181"/>
      <c r="M168" s="181"/>
      <c r="N168" s="182"/>
      <c r="O168" s="190">
        <f t="shared" si="7"/>
        <v>100.00000000000003</v>
      </c>
      <c r="P168" s="190"/>
      <c r="Q168" s="190">
        <f t="shared" si="8"/>
        <v>100.00000000000003</v>
      </c>
    </row>
    <row r="169" spans="1:17" s="132" customFormat="1" ht="13.5">
      <c r="A169" s="200" t="s">
        <v>36</v>
      </c>
      <c r="B169" s="186" t="s">
        <v>299</v>
      </c>
      <c r="C169" s="187">
        <v>552.76800000000003</v>
      </c>
      <c r="D169" s="187"/>
      <c r="E169" s="189">
        <v>552.76800000000003</v>
      </c>
      <c r="F169" s="187">
        <f t="shared" si="9"/>
        <v>552.76800000000003</v>
      </c>
      <c r="G169" s="187"/>
      <c r="H169" s="189">
        <v>552.76800000000003</v>
      </c>
      <c r="I169" s="181"/>
      <c r="J169" s="181"/>
      <c r="K169" s="181"/>
      <c r="L169" s="181"/>
      <c r="M169" s="181"/>
      <c r="N169" s="182"/>
      <c r="O169" s="190">
        <f t="shared" si="7"/>
        <v>100</v>
      </c>
      <c r="P169" s="190"/>
      <c r="Q169" s="190">
        <f t="shared" si="8"/>
        <v>100</v>
      </c>
    </row>
    <row r="170" spans="1:17" s="132" customFormat="1" ht="13.5">
      <c r="A170" s="200" t="s">
        <v>36</v>
      </c>
      <c r="B170" s="186" t="s">
        <v>300</v>
      </c>
      <c r="C170" s="187">
        <v>413.02800000000002</v>
      </c>
      <c r="D170" s="187"/>
      <c r="E170" s="189">
        <v>413.02800000000002</v>
      </c>
      <c r="F170" s="187">
        <f t="shared" si="9"/>
        <v>413.02800000000002</v>
      </c>
      <c r="G170" s="187"/>
      <c r="H170" s="189">
        <v>413.02800000000002</v>
      </c>
      <c r="I170" s="181"/>
      <c r="J170" s="181"/>
      <c r="K170" s="181"/>
      <c r="L170" s="181"/>
      <c r="M170" s="181"/>
      <c r="N170" s="182"/>
      <c r="O170" s="190">
        <f t="shared" si="7"/>
        <v>100</v>
      </c>
      <c r="P170" s="190"/>
      <c r="Q170" s="190">
        <f t="shared" si="8"/>
        <v>100</v>
      </c>
    </row>
    <row r="171" spans="1:17" s="132" customFormat="1" ht="13.5">
      <c r="A171" s="200" t="s">
        <v>36</v>
      </c>
      <c r="B171" s="186" t="s">
        <v>301</v>
      </c>
      <c r="C171" s="187">
        <v>1028.0999999999999</v>
      </c>
      <c r="D171" s="187"/>
      <c r="E171" s="189">
        <v>1028.0999999999999</v>
      </c>
      <c r="F171" s="187">
        <f t="shared" si="9"/>
        <v>1028.0999999999999</v>
      </c>
      <c r="G171" s="187"/>
      <c r="H171" s="189">
        <v>1028.0999999999999</v>
      </c>
      <c r="I171" s="181"/>
      <c r="J171" s="181"/>
      <c r="K171" s="181"/>
      <c r="L171" s="181"/>
      <c r="M171" s="181"/>
      <c r="N171" s="182"/>
      <c r="O171" s="190">
        <f t="shared" si="7"/>
        <v>100</v>
      </c>
      <c r="P171" s="190"/>
      <c r="Q171" s="190">
        <f t="shared" si="8"/>
        <v>100</v>
      </c>
    </row>
    <row r="172" spans="1:17" s="132" customFormat="1" ht="13.5">
      <c r="A172" s="200" t="s">
        <v>36</v>
      </c>
      <c r="B172" s="186" t="s">
        <v>302</v>
      </c>
      <c r="C172" s="187">
        <v>1158.624</v>
      </c>
      <c r="D172" s="187"/>
      <c r="E172" s="189">
        <v>1158.624</v>
      </c>
      <c r="F172" s="187">
        <f t="shared" si="9"/>
        <v>1158.624</v>
      </c>
      <c r="G172" s="187"/>
      <c r="H172" s="189">
        <v>1158.624</v>
      </c>
      <c r="I172" s="181"/>
      <c r="J172" s="181"/>
      <c r="K172" s="181"/>
      <c r="L172" s="181"/>
      <c r="M172" s="181"/>
      <c r="N172" s="182"/>
      <c r="O172" s="190">
        <f t="shared" si="7"/>
        <v>100</v>
      </c>
      <c r="P172" s="190"/>
      <c r="Q172" s="190">
        <f t="shared" si="8"/>
        <v>100</v>
      </c>
    </row>
    <row r="173" spans="1:17" s="132" customFormat="1" ht="13.5">
      <c r="A173" s="200" t="s">
        <v>36</v>
      </c>
      <c r="B173" s="186" t="s">
        <v>303</v>
      </c>
      <c r="C173" s="187">
        <v>2104.4760000000001</v>
      </c>
      <c r="D173" s="187"/>
      <c r="E173" s="189">
        <v>2104.4760000000001</v>
      </c>
      <c r="F173" s="187">
        <f t="shared" si="9"/>
        <v>2104.4760000000001</v>
      </c>
      <c r="G173" s="187"/>
      <c r="H173" s="189">
        <v>2104.4760000000001</v>
      </c>
      <c r="I173" s="181"/>
      <c r="J173" s="181"/>
      <c r="K173" s="181"/>
      <c r="L173" s="181"/>
      <c r="M173" s="181"/>
      <c r="N173" s="182"/>
      <c r="O173" s="190">
        <f t="shared" si="7"/>
        <v>100</v>
      </c>
      <c r="P173" s="190"/>
      <c r="Q173" s="190">
        <f t="shared" si="8"/>
        <v>100</v>
      </c>
    </row>
    <row r="174" spans="1:17" s="132" customFormat="1" ht="13.5">
      <c r="A174" s="200" t="s">
        <v>36</v>
      </c>
      <c r="B174" s="186" t="s">
        <v>304</v>
      </c>
      <c r="C174" s="187">
        <v>772.41600000000005</v>
      </c>
      <c r="D174" s="187"/>
      <c r="E174" s="189">
        <v>772.41600000000005</v>
      </c>
      <c r="F174" s="187">
        <f t="shared" si="9"/>
        <v>772.41600000000005</v>
      </c>
      <c r="G174" s="187"/>
      <c r="H174" s="189">
        <v>772.41600000000005</v>
      </c>
      <c r="I174" s="181"/>
      <c r="J174" s="181"/>
      <c r="K174" s="181"/>
      <c r="L174" s="181"/>
      <c r="M174" s="181"/>
      <c r="N174" s="182"/>
      <c r="O174" s="190">
        <f t="shared" si="7"/>
        <v>100</v>
      </c>
      <c r="P174" s="190"/>
      <c r="Q174" s="190">
        <f t="shared" si="8"/>
        <v>100</v>
      </c>
    </row>
    <row r="175" spans="1:17" s="132" customFormat="1" ht="13.5">
      <c r="A175" s="200" t="s">
        <v>36</v>
      </c>
      <c r="B175" s="186" t="s">
        <v>305</v>
      </c>
      <c r="C175" s="187">
        <v>777.78</v>
      </c>
      <c r="D175" s="187"/>
      <c r="E175" s="189">
        <v>777.78</v>
      </c>
      <c r="F175" s="187">
        <f t="shared" si="9"/>
        <v>777.78</v>
      </c>
      <c r="G175" s="187"/>
      <c r="H175" s="189">
        <v>777.78</v>
      </c>
      <c r="I175" s="181"/>
      <c r="J175" s="181"/>
      <c r="K175" s="181"/>
      <c r="L175" s="181"/>
      <c r="M175" s="181"/>
      <c r="N175" s="182"/>
      <c r="O175" s="190">
        <f t="shared" si="7"/>
        <v>100</v>
      </c>
      <c r="P175" s="190"/>
      <c r="Q175" s="190">
        <f t="shared" si="8"/>
        <v>100</v>
      </c>
    </row>
    <row r="176" spans="1:17" s="132" customFormat="1" ht="13.5">
      <c r="A176" s="200" t="s">
        <v>36</v>
      </c>
      <c r="B176" s="191" t="s">
        <v>310</v>
      </c>
      <c r="C176" s="187">
        <v>1269.48</v>
      </c>
      <c r="D176" s="187"/>
      <c r="E176" s="199">
        <v>1269.48</v>
      </c>
      <c r="F176" s="187">
        <f t="shared" si="9"/>
        <v>1269.48</v>
      </c>
      <c r="G176" s="187"/>
      <c r="H176" s="199">
        <v>1269.48</v>
      </c>
      <c r="I176" s="181"/>
      <c r="J176" s="181"/>
      <c r="K176" s="181"/>
      <c r="L176" s="181"/>
      <c r="M176" s="181"/>
      <c r="N176" s="182"/>
      <c r="O176" s="190">
        <f t="shared" si="7"/>
        <v>100</v>
      </c>
      <c r="P176" s="190"/>
      <c r="Q176" s="190">
        <f t="shared" si="8"/>
        <v>100</v>
      </c>
    </row>
    <row r="177" spans="1:17" s="132" customFormat="1" ht="13.5">
      <c r="A177" s="200" t="s">
        <v>36</v>
      </c>
      <c r="B177" s="186" t="s">
        <v>306</v>
      </c>
      <c r="C177" s="187">
        <v>703.28</v>
      </c>
      <c r="D177" s="187"/>
      <c r="E177" s="188">
        <v>703.28</v>
      </c>
      <c r="F177" s="187">
        <f t="shared" si="9"/>
        <v>703.28</v>
      </c>
      <c r="G177" s="187"/>
      <c r="H177" s="188">
        <v>703.28</v>
      </c>
      <c r="I177" s="181"/>
      <c r="J177" s="181"/>
      <c r="K177" s="181"/>
      <c r="L177" s="181"/>
      <c r="M177" s="181"/>
      <c r="N177" s="182"/>
      <c r="O177" s="190">
        <f t="shared" si="7"/>
        <v>100</v>
      </c>
      <c r="P177" s="190"/>
      <c r="Q177" s="190">
        <f t="shared" si="8"/>
        <v>100</v>
      </c>
    </row>
    <row r="178" spans="1:17" s="132" customFormat="1" ht="13.5">
      <c r="A178" s="200" t="s">
        <v>36</v>
      </c>
      <c r="B178" s="186" t="s">
        <v>307</v>
      </c>
      <c r="C178" s="187">
        <v>708.048</v>
      </c>
      <c r="D178" s="187"/>
      <c r="E178" s="199">
        <v>708.048</v>
      </c>
      <c r="F178" s="187">
        <f t="shared" si="9"/>
        <v>708.048</v>
      </c>
      <c r="G178" s="187"/>
      <c r="H178" s="199">
        <v>708.048</v>
      </c>
      <c r="I178" s="181"/>
      <c r="J178" s="181"/>
      <c r="K178" s="181"/>
      <c r="L178" s="181"/>
      <c r="M178" s="181"/>
      <c r="N178" s="182"/>
      <c r="O178" s="190">
        <f t="shared" si="7"/>
        <v>100</v>
      </c>
      <c r="P178" s="190"/>
      <c r="Q178" s="190">
        <f t="shared" si="8"/>
        <v>100</v>
      </c>
    </row>
    <row r="179" spans="1:17" s="132" customFormat="1" ht="33.75" customHeight="1">
      <c r="A179" s="197" t="s">
        <v>326</v>
      </c>
      <c r="B179" s="183" t="s">
        <v>327</v>
      </c>
      <c r="C179" s="179">
        <v>497738</v>
      </c>
      <c r="D179" s="179">
        <v>0</v>
      </c>
      <c r="E179" s="198">
        <v>497738</v>
      </c>
      <c r="F179" s="179">
        <f t="shared" si="9"/>
        <v>464898</v>
      </c>
      <c r="G179" s="179"/>
      <c r="H179" s="198">
        <v>464898</v>
      </c>
      <c r="I179" s="181"/>
      <c r="J179" s="181"/>
      <c r="K179" s="181"/>
      <c r="L179" s="181"/>
      <c r="M179" s="181"/>
      <c r="N179" s="182"/>
      <c r="O179" s="190">
        <f t="shared" si="7"/>
        <v>93.402151332628819</v>
      </c>
      <c r="P179" s="190"/>
      <c r="Q179" s="190">
        <f t="shared" si="8"/>
        <v>93.402151332628819</v>
      </c>
    </row>
    <row r="180" spans="1:17" s="132" customFormat="1" ht="33.75" customHeight="1">
      <c r="A180" s="197" t="s">
        <v>328</v>
      </c>
      <c r="B180" s="183" t="s">
        <v>329</v>
      </c>
      <c r="C180" s="179">
        <v>75000</v>
      </c>
      <c r="D180" s="179"/>
      <c r="E180" s="184">
        <v>75000</v>
      </c>
      <c r="F180" s="179">
        <f t="shared" si="9"/>
        <v>91386.8</v>
      </c>
      <c r="G180" s="179"/>
      <c r="H180" s="184">
        <v>91386.8</v>
      </c>
      <c r="I180" s="181"/>
      <c r="J180" s="181"/>
      <c r="K180" s="181"/>
      <c r="L180" s="181"/>
      <c r="M180" s="181"/>
      <c r="N180" s="182"/>
      <c r="O180" s="190">
        <f t="shared" si="7"/>
        <v>121.84906666666666</v>
      </c>
      <c r="P180" s="190"/>
      <c r="Q180" s="190">
        <f t="shared" si="8"/>
        <v>121.84906666666666</v>
      </c>
    </row>
    <row r="181" spans="1:17" s="132" customFormat="1" ht="33.75" customHeight="1">
      <c r="A181" s="131">
        <v>5</v>
      </c>
      <c r="B181" s="183" t="s">
        <v>330</v>
      </c>
      <c r="C181" s="179">
        <v>7196</v>
      </c>
      <c r="D181" s="179"/>
      <c r="E181" s="184">
        <v>7196</v>
      </c>
      <c r="F181" s="179">
        <f t="shared" si="9"/>
        <v>5350.1100000000006</v>
      </c>
      <c r="G181" s="179"/>
      <c r="H181" s="184">
        <f>SUM(H182:H192)</f>
        <v>5350.1100000000006</v>
      </c>
      <c r="I181" s="181"/>
      <c r="J181" s="181"/>
      <c r="K181" s="181"/>
      <c r="L181" s="181"/>
      <c r="M181" s="181"/>
      <c r="N181" s="182"/>
      <c r="O181" s="190">
        <f t="shared" si="7"/>
        <v>74.348387993329638</v>
      </c>
      <c r="P181" s="190"/>
      <c r="Q181" s="190">
        <f t="shared" si="8"/>
        <v>74.348387993329638</v>
      </c>
    </row>
    <row r="182" spans="1:17" s="132" customFormat="1" ht="13.5">
      <c r="A182" s="200" t="s">
        <v>36</v>
      </c>
      <c r="B182" s="186" t="s">
        <v>331</v>
      </c>
      <c r="C182" s="187">
        <v>503</v>
      </c>
      <c r="D182" s="187"/>
      <c r="E182" s="189">
        <v>503</v>
      </c>
      <c r="F182" s="187">
        <f t="shared" si="9"/>
        <v>448.9</v>
      </c>
      <c r="G182" s="187"/>
      <c r="H182" s="189">
        <v>448.9</v>
      </c>
      <c r="I182" s="181"/>
      <c r="J182" s="181"/>
      <c r="K182" s="181"/>
      <c r="L182" s="181"/>
      <c r="M182" s="181"/>
      <c r="N182" s="182"/>
      <c r="O182" s="190">
        <f t="shared" si="7"/>
        <v>89.244532803180903</v>
      </c>
      <c r="P182" s="190"/>
      <c r="Q182" s="190">
        <f t="shared" si="8"/>
        <v>89.244532803180903</v>
      </c>
    </row>
    <row r="183" spans="1:17" s="132" customFormat="1" ht="13.5">
      <c r="A183" s="200" t="s">
        <v>36</v>
      </c>
      <c r="B183" s="186" t="s">
        <v>332</v>
      </c>
      <c r="C183" s="187">
        <v>493.6</v>
      </c>
      <c r="D183" s="187"/>
      <c r="E183" s="189">
        <v>493.6</v>
      </c>
      <c r="F183" s="187">
        <f t="shared" si="9"/>
        <v>371.6</v>
      </c>
      <c r="G183" s="187"/>
      <c r="H183" s="189">
        <v>371.6</v>
      </c>
      <c r="I183" s="181"/>
      <c r="J183" s="181"/>
      <c r="K183" s="181"/>
      <c r="L183" s="181"/>
      <c r="M183" s="181"/>
      <c r="N183" s="182"/>
      <c r="O183" s="190">
        <f t="shared" si="7"/>
        <v>75.283630470016206</v>
      </c>
      <c r="P183" s="190"/>
      <c r="Q183" s="190">
        <f t="shared" si="8"/>
        <v>75.283630470016206</v>
      </c>
    </row>
    <row r="184" spans="1:17" s="132" customFormat="1" ht="13.5">
      <c r="A184" s="200" t="s">
        <v>36</v>
      </c>
      <c r="B184" s="186" t="s">
        <v>333</v>
      </c>
      <c r="C184" s="187">
        <v>690.2</v>
      </c>
      <c r="D184" s="187"/>
      <c r="E184" s="189">
        <v>690.2</v>
      </c>
      <c r="F184" s="187">
        <f t="shared" si="9"/>
        <v>295.5</v>
      </c>
      <c r="G184" s="187"/>
      <c r="H184" s="189">
        <v>295.5</v>
      </c>
      <c r="I184" s="181"/>
      <c r="J184" s="181"/>
      <c r="K184" s="181"/>
      <c r="L184" s="181"/>
      <c r="M184" s="181"/>
      <c r="N184" s="182"/>
      <c r="O184" s="190">
        <f t="shared" si="7"/>
        <v>42.813677195015934</v>
      </c>
      <c r="P184" s="190"/>
      <c r="Q184" s="190">
        <f t="shared" si="8"/>
        <v>42.813677195015934</v>
      </c>
    </row>
    <row r="185" spans="1:17" s="132" customFormat="1" ht="13.5">
      <c r="A185" s="200" t="s">
        <v>36</v>
      </c>
      <c r="B185" s="186" t="s">
        <v>334</v>
      </c>
      <c r="C185" s="187">
        <v>618.20000000000005</v>
      </c>
      <c r="D185" s="187"/>
      <c r="E185" s="189">
        <v>618.20000000000005</v>
      </c>
      <c r="F185" s="187">
        <f t="shared" si="9"/>
        <v>413.2</v>
      </c>
      <c r="G185" s="187"/>
      <c r="H185" s="189">
        <v>413.2</v>
      </c>
      <c r="I185" s="181"/>
      <c r="J185" s="181"/>
      <c r="K185" s="181"/>
      <c r="L185" s="181"/>
      <c r="M185" s="181"/>
      <c r="N185" s="182"/>
      <c r="O185" s="190">
        <f t="shared" si="7"/>
        <v>66.839210611452586</v>
      </c>
      <c r="P185" s="190"/>
      <c r="Q185" s="190">
        <f t="shared" si="8"/>
        <v>66.839210611452586</v>
      </c>
    </row>
    <row r="186" spans="1:17" s="132" customFormat="1" ht="13.5">
      <c r="A186" s="200" t="s">
        <v>36</v>
      </c>
      <c r="B186" s="186" t="s">
        <v>335</v>
      </c>
      <c r="C186" s="187">
        <v>928.4</v>
      </c>
      <c r="D186" s="187"/>
      <c r="E186" s="189">
        <v>928.4</v>
      </c>
      <c r="F186" s="187">
        <f t="shared" si="9"/>
        <v>560.79999999999995</v>
      </c>
      <c r="G186" s="187"/>
      <c r="H186" s="189">
        <v>560.79999999999995</v>
      </c>
      <c r="I186" s="181"/>
      <c r="J186" s="181"/>
      <c r="K186" s="181"/>
      <c r="L186" s="181"/>
      <c r="M186" s="181"/>
      <c r="N186" s="182"/>
      <c r="O186" s="190">
        <f t="shared" si="7"/>
        <v>60.404997845756135</v>
      </c>
      <c r="P186" s="190"/>
      <c r="Q186" s="190">
        <f t="shared" si="8"/>
        <v>60.404997845756135</v>
      </c>
    </row>
    <row r="187" spans="1:17" s="132" customFormat="1" ht="13.5">
      <c r="A187" s="200" t="s">
        <v>36</v>
      </c>
      <c r="B187" s="186" t="s">
        <v>336</v>
      </c>
      <c r="C187" s="187">
        <v>422</v>
      </c>
      <c r="D187" s="187"/>
      <c r="E187" s="189">
        <v>422</v>
      </c>
      <c r="F187" s="187">
        <f t="shared" si="9"/>
        <v>296.05</v>
      </c>
      <c r="G187" s="187"/>
      <c r="H187" s="189">
        <v>296.05</v>
      </c>
      <c r="I187" s="181"/>
      <c r="J187" s="181"/>
      <c r="K187" s="181"/>
      <c r="L187" s="181"/>
      <c r="M187" s="181"/>
      <c r="N187" s="182"/>
      <c r="O187" s="190">
        <f t="shared" si="7"/>
        <v>70.154028436018962</v>
      </c>
      <c r="P187" s="190"/>
      <c r="Q187" s="190">
        <f t="shared" si="8"/>
        <v>70.154028436018962</v>
      </c>
    </row>
    <row r="188" spans="1:17" s="132" customFormat="1" ht="12.75">
      <c r="A188" s="185" t="s">
        <v>36</v>
      </c>
      <c r="B188" s="186" t="s">
        <v>337</v>
      </c>
      <c r="C188" s="187">
        <v>276.39999999999998</v>
      </c>
      <c r="D188" s="187"/>
      <c r="E188" s="199">
        <v>276.39999999999998</v>
      </c>
      <c r="F188" s="187">
        <f t="shared" si="9"/>
        <v>207.51</v>
      </c>
      <c r="G188" s="187"/>
      <c r="H188" s="189">
        <v>207.51</v>
      </c>
      <c r="I188" s="181"/>
      <c r="J188" s="181"/>
      <c r="K188" s="181"/>
      <c r="L188" s="181"/>
      <c r="M188" s="181"/>
      <c r="N188" s="182"/>
      <c r="O188" s="190">
        <f t="shared" si="7"/>
        <v>75.075976845151956</v>
      </c>
      <c r="P188" s="190"/>
      <c r="Q188" s="190">
        <f t="shared" si="8"/>
        <v>75.075976845151956</v>
      </c>
    </row>
    <row r="189" spans="1:17" s="132" customFormat="1" ht="12.75">
      <c r="A189" s="185" t="s">
        <v>36</v>
      </c>
      <c r="B189" s="186" t="s">
        <v>338</v>
      </c>
      <c r="C189" s="187">
        <v>729.2</v>
      </c>
      <c r="D189" s="187"/>
      <c r="E189" s="199">
        <v>729.2</v>
      </c>
      <c r="F189" s="187">
        <f t="shared" si="9"/>
        <v>406.35</v>
      </c>
      <c r="G189" s="187"/>
      <c r="H189" s="189">
        <v>406.35</v>
      </c>
      <c r="I189" s="181"/>
      <c r="J189" s="181"/>
      <c r="K189" s="181"/>
      <c r="L189" s="181"/>
      <c r="M189" s="181"/>
      <c r="N189" s="182"/>
      <c r="O189" s="190">
        <f t="shared" si="7"/>
        <v>55.725452550740542</v>
      </c>
      <c r="P189" s="190"/>
      <c r="Q189" s="190">
        <f t="shared" si="8"/>
        <v>55.725452550740542</v>
      </c>
    </row>
    <row r="190" spans="1:17" s="132" customFormat="1" ht="12.75">
      <c r="A190" s="185" t="s">
        <v>36</v>
      </c>
      <c r="B190" s="186" t="s">
        <v>339</v>
      </c>
      <c r="C190" s="187">
        <v>320.39999999999998</v>
      </c>
      <c r="D190" s="187"/>
      <c r="E190" s="199">
        <v>320.39999999999998</v>
      </c>
      <c r="F190" s="187">
        <f t="shared" si="9"/>
        <v>216.4</v>
      </c>
      <c r="G190" s="187"/>
      <c r="H190" s="189">
        <v>216.4</v>
      </c>
      <c r="I190" s="181"/>
      <c r="J190" s="181"/>
      <c r="K190" s="181"/>
      <c r="L190" s="181"/>
      <c r="M190" s="181"/>
      <c r="N190" s="182"/>
      <c r="O190" s="190">
        <f t="shared" si="7"/>
        <v>67.540574282147332</v>
      </c>
      <c r="P190" s="190"/>
      <c r="Q190" s="190">
        <f t="shared" si="8"/>
        <v>67.540574282147332</v>
      </c>
    </row>
    <row r="191" spans="1:17" s="132" customFormat="1" ht="12.75">
      <c r="A191" s="185" t="s">
        <v>36</v>
      </c>
      <c r="B191" s="186" t="s">
        <v>340</v>
      </c>
      <c r="C191" s="187">
        <v>343.6</v>
      </c>
      <c r="D191" s="179"/>
      <c r="E191" s="199">
        <v>343.6</v>
      </c>
      <c r="F191" s="187">
        <f t="shared" si="9"/>
        <v>262.8</v>
      </c>
      <c r="G191" s="179"/>
      <c r="H191" s="189">
        <v>262.8</v>
      </c>
      <c r="I191" s="181"/>
      <c r="J191" s="181"/>
      <c r="K191" s="181"/>
      <c r="L191" s="181"/>
      <c r="M191" s="181"/>
      <c r="N191" s="182"/>
      <c r="O191" s="190">
        <f t="shared" si="7"/>
        <v>76.484284051222346</v>
      </c>
      <c r="P191" s="190"/>
      <c r="Q191" s="190">
        <f t="shared" si="8"/>
        <v>76.484284051222346</v>
      </c>
    </row>
    <row r="192" spans="1:17" s="132" customFormat="1" ht="33.75" customHeight="1">
      <c r="A192" s="185" t="s">
        <v>36</v>
      </c>
      <c r="B192" s="186" t="s">
        <v>341</v>
      </c>
      <c r="C192" s="187">
        <v>1871</v>
      </c>
      <c r="D192" s="179"/>
      <c r="E192" s="199">
        <v>1871</v>
      </c>
      <c r="F192" s="187">
        <f t="shared" si="9"/>
        <v>1871</v>
      </c>
      <c r="G192" s="179"/>
      <c r="H192" s="189">
        <v>1871</v>
      </c>
      <c r="I192" s="181"/>
      <c r="J192" s="181"/>
      <c r="K192" s="181"/>
      <c r="L192" s="181"/>
      <c r="M192" s="181"/>
      <c r="N192" s="182"/>
      <c r="O192" s="190">
        <f t="shared" si="7"/>
        <v>100</v>
      </c>
      <c r="P192" s="190"/>
      <c r="Q192" s="190">
        <f t="shared" si="8"/>
        <v>100</v>
      </c>
    </row>
    <row r="193" spans="1:17" s="132" customFormat="1" ht="33.75" customHeight="1">
      <c r="A193" s="131">
        <v>6</v>
      </c>
      <c r="B193" s="183" t="s">
        <v>342</v>
      </c>
      <c r="C193" s="179">
        <v>13559</v>
      </c>
      <c r="D193" s="179">
        <v>0</v>
      </c>
      <c r="E193" s="184">
        <v>13559</v>
      </c>
      <c r="F193" s="179">
        <f t="shared" si="9"/>
        <v>10570.046999999999</v>
      </c>
      <c r="G193" s="179"/>
      <c r="H193" s="184">
        <f>H194+H196</f>
        <v>10570.046999999999</v>
      </c>
      <c r="I193" s="181"/>
      <c r="J193" s="181"/>
      <c r="K193" s="181"/>
      <c r="L193" s="181"/>
      <c r="M193" s="181"/>
      <c r="N193" s="182"/>
      <c r="O193" s="190">
        <f t="shared" si="7"/>
        <v>77.955948078766852</v>
      </c>
      <c r="P193" s="190"/>
      <c r="Q193" s="190">
        <f t="shared" si="8"/>
        <v>77.955948078766852</v>
      </c>
    </row>
    <row r="194" spans="1:17" s="132" customFormat="1" ht="33.75" customHeight="1">
      <c r="A194" s="197" t="s">
        <v>204</v>
      </c>
      <c r="B194" s="183" t="s">
        <v>343</v>
      </c>
      <c r="C194" s="179">
        <v>2259</v>
      </c>
      <c r="D194" s="179"/>
      <c r="E194" s="184">
        <v>2259</v>
      </c>
      <c r="F194" s="179">
        <f t="shared" si="9"/>
        <v>2233.0059999999999</v>
      </c>
      <c r="G194" s="179"/>
      <c r="H194" s="184">
        <f>SUM(H195:H195)</f>
        <v>2233.0059999999999</v>
      </c>
      <c r="I194" s="181"/>
      <c r="J194" s="181"/>
      <c r="K194" s="181"/>
      <c r="L194" s="181"/>
      <c r="M194" s="181"/>
      <c r="N194" s="182"/>
      <c r="O194" s="190">
        <f t="shared" si="7"/>
        <v>98.849313855688351</v>
      </c>
      <c r="P194" s="190"/>
      <c r="Q194" s="190">
        <f t="shared" si="8"/>
        <v>98.849313855688351</v>
      </c>
    </row>
    <row r="195" spans="1:17" s="132" customFormat="1" ht="12.75">
      <c r="A195" s="185" t="s">
        <v>36</v>
      </c>
      <c r="B195" s="186" t="s">
        <v>344</v>
      </c>
      <c r="C195" s="187">
        <v>2259</v>
      </c>
      <c r="D195" s="187"/>
      <c r="E195" s="189">
        <v>2259</v>
      </c>
      <c r="F195" s="187">
        <f t="shared" si="9"/>
        <v>2233.0059999999999</v>
      </c>
      <c r="G195" s="187"/>
      <c r="H195" s="189">
        <v>2233.0059999999999</v>
      </c>
      <c r="I195" s="181"/>
      <c r="J195" s="181"/>
      <c r="K195" s="181"/>
      <c r="L195" s="181"/>
      <c r="M195" s="181"/>
      <c r="N195" s="182"/>
      <c r="O195" s="190">
        <f t="shared" si="7"/>
        <v>98.849313855688351</v>
      </c>
      <c r="P195" s="190"/>
      <c r="Q195" s="190">
        <f t="shared" si="8"/>
        <v>98.849313855688351</v>
      </c>
    </row>
    <row r="196" spans="1:17" s="132" customFormat="1" ht="33.75" customHeight="1">
      <c r="A196" s="197" t="s">
        <v>259</v>
      </c>
      <c r="B196" s="183" t="s">
        <v>345</v>
      </c>
      <c r="C196" s="179">
        <v>11300</v>
      </c>
      <c r="D196" s="179"/>
      <c r="E196" s="184">
        <v>11300</v>
      </c>
      <c r="F196" s="179">
        <f t="shared" si="9"/>
        <v>8337.0409999999993</v>
      </c>
      <c r="G196" s="179"/>
      <c r="H196" s="184">
        <f>SUM(H197:H203)</f>
        <v>8337.0409999999993</v>
      </c>
      <c r="I196" s="181"/>
      <c r="J196" s="181"/>
      <c r="K196" s="181"/>
      <c r="L196" s="181"/>
      <c r="M196" s="181"/>
      <c r="N196" s="182"/>
      <c r="O196" s="190">
        <f t="shared" si="7"/>
        <v>73.779123893805291</v>
      </c>
      <c r="P196" s="190"/>
      <c r="Q196" s="190">
        <f t="shared" si="8"/>
        <v>73.779123893805291</v>
      </c>
    </row>
    <row r="197" spans="1:17" s="132" customFormat="1" ht="12.75">
      <c r="A197" s="185" t="s">
        <v>36</v>
      </c>
      <c r="B197" s="186" t="s">
        <v>346</v>
      </c>
      <c r="C197" s="187">
        <v>8422</v>
      </c>
      <c r="D197" s="187"/>
      <c r="E197" s="189">
        <v>8422</v>
      </c>
      <c r="F197" s="187">
        <f t="shared" si="9"/>
        <v>5468.1279999999997</v>
      </c>
      <c r="G197" s="187"/>
      <c r="H197" s="189">
        <v>5468.1279999999997</v>
      </c>
      <c r="I197" s="181"/>
      <c r="J197" s="181"/>
      <c r="K197" s="181"/>
      <c r="L197" s="181"/>
      <c r="M197" s="181"/>
      <c r="N197" s="182"/>
      <c r="O197" s="190">
        <f t="shared" si="7"/>
        <v>64.926715744478741</v>
      </c>
      <c r="P197" s="190"/>
      <c r="Q197" s="190">
        <f t="shared" si="8"/>
        <v>64.926715744478741</v>
      </c>
    </row>
    <row r="198" spans="1:17" s="132" customFormat="1" ht="12.75">
      <c r="A198" s="185" t="s">
        <v>36</v>
      </c>
      <c r="B198" s="186" t="s">
        <v>347</v>
      </c>
      <c r="C198" s="187">
        <v>461</v>
      </c>
      <c r="D198" s="187"/>
      <c r="E198" s="189">
        <v>461</v>
      </c>
      <c r="F198" s="187">
        <f t="shared" si="9"/>
        <v>461</v>
      </c>
      <c r="G198" s="187"/>
      <c r="H198" s="189">
        <v>461</v>
      </c>
      <c r="I198" s="181"/>
      <c r="J198" s="181"/>
      <c r="K198" s="181"/>
      <c r="L198" s="181"/>
      <c r="M198" s="181"/>
      <c r="N198" s="182"/>
      <c r="O198" s="190">
        <f t="shared" si="7"/>
        <v>100</v>
      </c>
      <c r="P198" s="190"/>
      <c r="Q198" s="190">
        <f t="shared" si="8"/>
        <v>100</v>
      </c>
    </row>
    <row r="199" spans="1:17" s="132" customFormat="1" ht="12.75">
      <c r="A199" s="185" t="s">
        <v>36</v>
      </c>
      <c r="B199" s="186" t="s">
        <v>348</v>
      </c>
      <c r="C199" s="187">
        <v>676</v>
      </c>
      <c r="D199" s="187"/>
      <c r="E199" s="189">
        <v>676</v>
      </c>
      <c r="F199" s="187">
        <f t="shared" si="9"/>
        <v>669.8</v>
      </c>
      <c r="G199" s="187"/>
      <c r="H199" s="189">
        <v>669.8</v>
      </c>
      <c r="I199" s="181"/>
      <c r="J199" s="181"/>
      <c r="K199" s="181"/>
      <c r="L199" s="181"/>
      <c r="M199" s="181"/>
      <c r="N199" s="182"/>
      <c r="O199" s="190">
        <f t="shared" si="7"/>
        <v>99.082840236686394</v>
      </c>
      <c r="P199" s="190"/>
      <c r="Q199" s="190">
        <f t="shared" si="8"/>
        <v>99.082840236686394</v>
      </c>
    </row>
    <row r="200" spans="1:17" s="132" customFormat="1" ht="12.75">
      <c r="A200" s="185" t="s">
        <v>36</v>
      </c>
      <c r="B200" s="186" t="s">
        <v>349</v>
      </c>
      <c r="C200" s="187">
        <v>120</v>
      </c>
      <c r="D200" s="187"/>
      <c r="E200" s="189">
        <v>120</v>
      </c>
      <c r="F200" s="187">
        <f t="shared" si="9"/>
        <v>120</v>
      </c>
      <c r="G200" s="187"/>
      <c r="H200" s="189">
        <v>120</v>
      </c>
      <c r="I200" s="181"/>
      <c r="J200" s="181"/>
      <c r="K200" s="181"/>
      <c r="L200" s="181"/>
      <c r="M200" s="181"/>
      <c r="N200" s="182"/>
      <c r="O200" s="190">
        <f t="shared" si="7"/>
        <v>100</v>
      </c>
      <c r="P200" s="190"/>
      <c r="Q200" s="190">
        <f t="shared" si="8"/>
        <v>100</v>
      </c>
    </row>
    <row r="201" spans="1:17" s="132" customFormat="1" ht="12.75">
      <c r="A201" s="185" t="s">
        <v>36</v>
      </c>
      <c r="B201" s="186" t="s">
        <v>350</v>
      </c>
      <c r="C201" s="187">
        <v>150</v>
      </c>
      <c r="D201" s="187"/>
      <c r="E201" s="189">
        <v>150</v>
      </c>
      <c r="F201" s="187">
        <f t="shared" si="9"/>
        <v>150</v>
      </c>
      <c r="G201" s="187"/>
      <c r="H201" s="189">
        <v>150</v>
      </c>
      <c r="I201" s="181"/>
      <c r="J201" s="181"/>
      <c r="K201" s="181"/>
      <c r="L201" s="181"/>
      <c r="M201" s="181"/>
      <c r="N201" s="182"/>
      <c r="O201" s="190">
        <f t="shared" ref="O201:O263" si="10">F201/C201*100</f>
        <v>100</v>
      </c>
      <c r="P201" s="190"/>
      <c r="Q201" s="190">
        <f t="shared" ref="Q201:Q263" si="11">H201/E201*100</f>
        <v>100</v>
      </c>
    </row>
    <row r="202" spans="1:17" s="132" customFormat="1" ht="12.75">
      <c r="A202" s="185" t="s">
        <v>36</v>
      </c>
      <c r="B202" s="186" t="s">
        <v>351</v>
      </c>
      <c r="C202" s="187">
        <v>245.5</v>
      </c>
      <c r="D202" s="187"/>
      <c r="E202" s="189">
        <v>245.5</v>
      </c>
      <c r="F202" s="187">
        <f t="shared" ref="F202:F265" si="12">G202+H202+I202+J202+K202+N202</f>
        <v>245.5</v>
      </c>
      <c r="G202" s="187"/>
      <c r="H202" s="189">
        <v>245.5</v>
      </c>
      <c r="I202" s="181"/>
      <c r="J202" s="181"/>
      <c r="K202" s="181"/>
      <c r="L202" s="181"/>
      <c r="M202" s="181"/>
      <c r="N202" s="182"/>
      <c r="O202" s="190">
        <f t="shared" si="10"/>
        <v>100</v>
      </c>
      <c r="P202" s="190"/>
      <c r="Q202" s="190">
        <f t="shared" si="11"/>
        <v>100</v>
      </c>
    </row>
    <row r="203" spans="1:17" s="132" customFormat="1" ht="12.75">
      <c r="A203" s="185" t="s">
        <v>36</v>
      </c>
      <c r="B203" s="186" t="s">
        <v>352</v>
      </c>
      <c r="C203" s="187">
        <v>1225.934</v>
      </c>
      <c r="D203" s="187"/>
      <c r="E203" s="189">
        <v>1225.934</v>
      </c>
      <c r="F203" s="187">
        <f t="shared" si="12"/>
        <v>1222.6130000000001</v>
      </c>
      <c r="G203" s="187"/>
      <c r="H203" s="189">
        <v>1222.6130000000001</v>
      </c>
      <c r="I203" s="181"/>
      <c r="J203" s="181"/>
      <c r="K203" s="181"/>
      <c r="L203" s="181"/>
      <c r="M203" s="181"/>
      <c r="N203" s="182"/>
      <c r="O203" s="190">
        <f t="shared" si="10"/>
        <v>99.729104503178817</v>
      </c>
      <c r="P203" s="190"/>
      <c r="Q203" s="190">
        <f t="shared" si="11"/>
        <v>99.729104503178817</v>
      </c>
    </row>
    <row r="204" spans="1:17" s="132" customFormat="1" ht="33.75" customHeight="1">
      <c r="A204" s="131">
        <v>7</v>
      </c>
      <c r="B204" s="183" t="s">
        <v>353</v>
      </c>
      <c r="C204" s="179">
        <v>24958</v>
      </c>
      <c r="D204" s="179"/>
      <c r="E204" s="184">
        <v>24958</v>
      </c>
      <c r="F204" s="179">
        <f t="shared" si="12"/>
        <v>22927.589</v>
      </c>
      <c r="G204" s="179"/>
      <c r="H204" s="184">
        <f>H205+H212+H215+H218</f>
        <v>22927.589</v>
      </c>
      <c r="I204" s="181"/>
      <c r="J204" s="181"/>
      <c r="K204" s="181"/>
      <c r="L204" s="181"/>
      <c r="M204" s="181"/>
      <c r="N204" s="182"/>
      <c r="O204" s="190">
        <f t="shared" si="10"/>
        <v>91.864688676977323</v>
      </c>
      <c r="P204" s="190"/>
      <c r="Q204" s="190">
        <f t="shared" si="11"/>
        <v>91.864688676977323</v>
      </c>
    </row>
    <row r="205" spans="1:17" s="132" customFormat="1" ht="33.75" customHeight="1">
      <c r="A205" s="193" t="s">
        <v>204</v>
      </c>
      <c r="B205" s="183" t="s">
        <v>354</v>
      </c>
      <c r="C205" s="179">
        <v>15799</v>
      </c>
      <c r="D205" s="179"/>
      <c r="E205" s="184">
        <v>15799</v>
      </c>
      <c r="F205" s="179">
        <f t="shared" si="12"/>
        <v>15482.880999999999</v>
      </c>
      <c r="G205" s="179"/>
      <c r="H205" s="184">
        <f>SUM(H206:H211)</f>
        <v>15482.880999999999</v>
      </c>
      <c r="I205" s="181"/>
      <c r="J205" s="181"/>
      <c r="K205" s="181"/>
      <c r="L205" s="181"/>
      <c r="M205" s="181"/>
      <c r="N205" s="182"/>
      <c r="O205" s="190">
        <f t="shared" si="10"/>
        <v>97.999120197480849</v>
      </c>
      <c r="P205" s="190"/>
      <c r="Q205" s="190">
        <f t="shared" si="11"/>
        <v>97.999120197480849</v>
      </c>
    </row>
    <row r="206" spans="1:17" s="132" customFormat="1" ht="12.75">
      <c r="A206" s="185" t="s">
        <v>36</v>
      </c>
      <c r="B206" s="186" t="s">
        <v>355</v>
      </c>
      <c r="C206" s="187">
        <v>0</v>
      </c>
      <c r="D206" s="187"/>
      <c r="E206" s="189"/>
      <c r="F206" s="187">
        <f t="shared" si="12"/>
        <v>0</v>
      </c>
      <c r="G206" s="187"/>
      <c r="H206" s="189"/>
      <c r="I206" s="181"/>
      <c r="J206" s="181"/>
      <c r="K206" s="181"/>
      <c r="L206" s="181"/>
      <c r="M206" s="181"/>
      <c r="N206" s="182"/>
      <c r="O206" s="190"/>
      <c r="P206" s="190"/>
      <c r="Q206" s="190"/>
    </row>
    <row r="207" spans="1:17" s="132" customFormat="1" ht="12.75">
      <c r="A207" s="185" t="s">
        <v>36</v>
      </c>
      <c r="B207" s="186" t="s">
        <v>356</v>
      </c>
      <c r="C207" s="187">
        <v>2432</v>
      </c>
      <c r="D207" s="187"/>
      <c r="E207" s="189">
        <v>2432</v>
      </c>
      <c r="F207" s="187">
        <f t="shared" si="12"/>
        <v>2407.2640000000001</v>
      </c>
      <c r="G207" s="187"/>
      <c r="H207" s="189">
        <v>2407.2640000000001</v>
      </c>
      <c r="I207" s="181"/>
      <c r="J207" s="181"/>
      <c r="K207" s="181"/>
      <c r="L207" s="181"/>
      <c r="M207" s="181"/>
      <c r="N207" s="182"/>
      <c r="O207" s="190">
        <f t="shared" si="10"/>
        <v>98.982894736842113</v>
      </c>
      <c r="P207" s="190"/>
      <c r="Q207" s="190">
        <f t="shared" si="11"/>
        <v>98.982894736842113</v>
      </c>
    </row>
    <row r="208" spans="1:17" s="132" customFormat="1" ht="12.75">
      <c r="A208" s="185" t="s">
        <v>36</v>
      </c>
      <c r="B208" s="186" t="s">
        <v>357</v>
      </c>
      <c r="C208" s="187">
        <v>2200</v>
      </c>
      <c r="D208" s="187"/>
      <c r="E208" s="189">
        <v>2200</v>
      </c>
      <c r="F208" s="187">
        <f t="shared" si="12"/>
        <v>2104.848</v>
      </c>
      <c r="G208" s="187"/>
      <c r="H208" s="189">
        <v>2104.848</v>
      </c>
      <c r="I208" s="181"/>
      <c r="J208" s="181"/>
      <c r="K208" s="181"/>
      <c r="L208" s="181"/>
      <c r="M208" s="181"/>
      <c r="N208" s="182"/>
      <c r="O208" s="190">
        <f t="shared" si="10"/>
        <v>95.674909090909082</v>
      </c>
      <c r="P208" s="190"/>
      <c r="Q208" s="190">
        <f t="shared" si="11"/>
        <v>95.674909090909082</v>
      </c>
    </row>
    <row r="209" spans="1:17" s="132" customFormat="1" ht="12.75">
      <c r="A209" s="185" t="s">
        <v>36</v>
      </c>
      <c r="B209" s="186" t="s">
        <v>358</v>
      </c>
      <c r="C209" s="187">
        <v>5061</v>
      </c>
      <c r="D209" s="179"/>
      <c r="E209" s="189">
        <v>5061</v>
      </c>
      <c r="F209" s="187">
        <f t="shared" si="12"/>
        <v>5240.098</v>
      </c>
      <c r="G209" s="179"/>
      <c r="H209" s="189">
        <f>4947.098+293</f>
        <v>5240.098</v>
      </c>
      <c r="I209" s="181"/>
      <c r="J209" s="181"/>
      <c r="K209" s="181"/>
      <c r="L209" s="181"/>
      <c r="M209" s="181"/>
      <c r="N209" s="182"/>
      <c r="O209" s="190">
        <f t="shared" si="10"/>
        <v>103.53878680102746</v>
      </c>
      <c r="P209" s="190"/>
      <c r="Q209" s="190">
        <f t="shared" si="11"/>
        <v>103.53878680102746</v>
      </c>
    </row>
    <row r="210" spans="1:17" s="132" customFormat="1" ht="12.75">
      <c r="A210" s="185" t="s">
        <v>36</v>
      </c>
      <c r="B210" s="186" t="s">
        <v>359</v>
      </c>
      <c r="C210" s="187">
        <v>5636</v>
      </c>
      <c r="D210" s="179"/>
      <c r="E210" s="189">
        <v>5636</v>
      </c>
      <c r="F210" s="187">
        <f t="shared" si="12"/>
        <v>5282.5749999999998</v>
      </c>
      <c r="G210" s="179"/>
      <c r="H210" s="189">
        <f>5275.575+7</f>
        <v>5282.5749999999998</v>
      </c>
      <c r="I210" s="181"/>
      <c r="J210" s="181"/>
      <c r="K210" s="181"/>
      <c r="L210" s="181"/>
      <c r="M210" s="181"/>
      <c r="N210" s="182"/>
      <c r="O210" s="190">
        <f t="shared" si="10"/>
        <v>93.729151880766494</v>
      </c>
      <c r="P210" s="190"/>
      <c r="Q210" s="190">
        <f t="shared" si="11"/>
        <v>93.729151880766494</v>
      </c>
    </row>
    <row r="211" spans="1:17" s="132" customFormat="1" ht="12.75">
      <c r="A211" s="185" t="s">
        <v>36</v>
      </c>
      <c r="B211" s="191" t="s">
        <v>360</v>
      </c>
      <c r="C211" s="187">
        <v>470</v>
      </c>
      <c r="D211" s="179"/>
      <c r="E211" s="189">
        <v>470</v>
      </c>
      <c r="F211" s="187">
        <f t="shared" si="12"/>
        <v>448.09600000000006</v>
      </c>
      <c r="G211" s="179"/>
      <c r="H211" s="189">
        <f>3703.014-3304.708+49.79</f>
        <v>448.09600000000006</v>
      </c>
      <c r="I211" s="181"/>
      <c r="J211" s="181"/>
      <c r="K211" s="181"/>
      <c r="L211" s="181"/>
      <c r="M211" s="181"/>
      <c r="N211" s="182"/>
      <c r="O211" s="190">
        <f t="shared" si="10"/>
        <v>95.339574468085118</v>
      </c>
      <c r="P211" s="190"/>
      <c r="Q211" s="190">
        <f t="shared" si="11"/>
        <v>95.339574468085118</v>
      </c>
    </row>
    <row r="212" spans="1:17" s="132" customFormat="1" ht="33.75" customHeight="1">
      <c r="A212" s="197" t="s">
        <v>259</v>
      </c>
      <c r="B212" s="183" t="s">
        <v>361</v>
      </c>
      <c r="C212" s="179">
        <v>3064</v>
      </c>
      <c r="D212" s="179"/>
      <c r="E212" s="184">
        <v>3064</v>
      </c>
      <c r="F212" s="179">
        <f t="shared" si="12"/>
        <v>3026</v>
      </c>
      <c r="G212" s="179"/>
      <c r="H212" s="184">
        <f>SUM(H213:H214)</f>
        <v>3026</v>
      </c>
      <c r="I212" s="181"/>
      <c r="J212" s="181"/>
      <c r="K212" s="181"/>
      <c r="L212" s="181"/>
      <c r="M212" s="181"/>
      <c r="N212" s="182"/>
      <c r="O212" s="190">
        <f t="shared" si="10"/>
        <v>98.759791122715399</v>
      </c>
      <c r="P212" s="190"/>
      <c r="Q212" s="190">
        <f t="shared" si="11"/>
        <v>98.759791122715399</v>
      </c>
    </row>
    <row r="213" spans="1:17" s="132" customFormat="1" ht="12.75">
      <c r="A213" s="185" t="s">
        <v>36</v>
      </c>
      <c r="B213" s="186" t="s">
        <v>362</v>
      </c>
      <c r="C213" s="187">
        <v>1458</v>
      </c>
      <c r="D213" s="187"/>
      <c r="E213" s="189">
        <v>1458</v>
      </c>
      <c r="F213" s="187">
        <f t="shared" si="12"/>
        <v>1493</v>
      </c>
      <c r="G213" s="187"/>
      <c r="H213" s="189">
        <f>1385+108</f>
        <v>1493</v>
      </c>
      <c r="I213" s="181"/>
      <c r="J213" s="181"/>
      <c r="K213" s="181"/>
      <c r="L213" s="181"/>
      <c r="M213" s="181"/>
      <c r="N213" s="182"/>
      <c r="O213" s="190">
        <f t="shared" si="10"/>
        <v>102.40054869684498</v>
      </c>
      <c r="P213" s="190"/>
      <c r="Q213" s="190">
        <f t="shared" si="11"/>
        <v>102.40054869684498</v>
      </c>
    </row>
    <row r="214" spans="1:17" s="132" customFormat="1" ht="12.75">
      <c r="A214" s="185" t="s">
        <v>36</v>
      </c>
      <c r="B214" s="186" t="s">
        <v>363</v>
      </c>
      <c r="C214" s="187">
        <v>1606</v>
      </c>
      <c r="D214" s="187"/>
      <c r="E214" s="189">
        <v>1606</v>
      </c>
      <c r="F214" s="187">
        <f t="shared" si="12"/>
        <v>1533</v>
      </c>
      <c r="G214" s="187"/>
      <c r="H214" s="189">
        <v>1533</v>
      </c>
      <c r="I214" s="181"/>
      <c r="J214" s="181"/>
      <c r="K214" s="181"/>
      <c r="L214" s="181"/>
      <c r="M214" s="181"/>
      <c r="N214" s="182"/>
      <c r="O214" s="190">
        <f t="shared" si="10"/>
        <v>95.454545454545453</v>
      </c>
      <c r="P214" s="190"/>
      <c r="Q214" s="190">
        <f t="shared" si="11"/>
        <v>95.454545454545453</v>
      </c>
    </row>
    <row r="215" spans="1:17" s="132" customFormat="1" ht="33.75" customHeight="1">
      <c r="A215" s="193" t="s">
        <v>312</v>
      </c>
      <c r="B215" s="183" t="s">
        <v>364</v>
      </c>
      <c r="C215" s="179">
        <v>1170</v>
      </c>
      <c r="D215" s="179"/>
      <c r="E215" s="184">
        <v>1170</v>
      </c>
      <c r="F215" s="179">
        <f t="shared" si="12"/>
        <v>1114</v>
      </c>
      <c r="G215" s="179"/>
      <c r="H215" s="184">
        <f>SUM(H216:H217)</f>
        <v>1114</v>
      </c>
      <c r="I215" s="181"/>
      <c r="J215" s="181"/>
      <c r="K215" s="181"/>
      <c r="L215" s="181"/>
      <c r="M215" s="181"/>
      <c r="N215" s="182"/>
      <c r="O215" s="190">
        <f t="shared" si="10"/>
        <v>95.213675213675202</v>
      </c>
      <c r="P215" s="190"/>
      <c r="Q215" s="190">
        <f t="shared" si="11"/>
        <v>95.213675213675202</v>
      </c>
    </row>
    <row r="216" spans="1:17" s="132" customFormat="1" ht="12.75">
      <c r="A216" s="185" t="s">
        <v>36</v>
      </c>
      <c r="B216" s="186" t="s">
        <v>365</v>
      </c>
      <c r="C216" s="187">
        <v>900</v>
      </c>
      <c r="D216" s="187"/>
      <c r="E216" s="189">
        <v>900</v>
      </c>
      <c r="F216" s="187">
        <f t="shared" si="12"/>
        <v>900</v>
      </c>
      <c r="G216" s="187"/>
      <c r="H216" s="189">
        <v>900</v>
      </c>
      <c r="I216" s="181"/>
      <c r="J216" s="181"/>
      <c r="K216" s="181"/>
      <c r="L216" s="181"/>
      <c r="M216" s="181"/>
      <c r="N216" s="182"/>
      <c r="O216" s="190">
        <f t="shared" si="10"/>
        <v>100</v>
      </c>
      <c r="P216" s="190"/>
      <c r="Q216" s="190">
        <f t="shared" si="11"/>
        <v>100</v>
      </c>
    </row>
    <row r="217" spans="1:17" s="132" customFormat="1" ht="12.75">
      <c r="A217" s="185" t="s">
        <v>36</v>
      </c>
      <c r="B217" s="186" t="s">
        <v>366</v>
      </c>
      <c r="C217" s="187">
        <v>270</v>
      </c>
      <c r="D217" s="187"/>
      <c r="E217" s="189">
        <v>270</v>
      </c>
      <c r="F217" s="187">
        <f t="shared" si="12"/>
        <v>214</v>
      </c>
      <c r="G217" s="187"/>
      <c r="H217" s="189">
        <v>214</v>
      </c>
      <c r="I217" s="181"/>
      <c r="J217" s="181"/>
      <c r="K217" s="181"/>
      <c r="L217" s="181"/>
      <c r="M217" s="181"/>
      <c r="N217" s="182"/>
      <c r="O217" s="190">
        <f t="shared" si="10"/>
        <v>79.259259259259267</v>
      </c>
      <c r="P217" s="190"/>
      <c r="Q217" s="190">
        <f t="shared" si="11"/>
        <v>79.259259259259267</v>
      </c>
    </row>
    <row r="218" spans="1:17" s="132" customFormat="1" ht="33.75" customHeight="1">
      <c r="A218" s="197" t="s">
        <v>320</v>
      </c>
      <c r="B218" s="183" t="s">
        <v>367</v>
      </c>
      <c r="C218" s="179">
        <v>3600</v>
      </c>
      <c r="D218" s="179"/>
      <c r="E218" s="184">
        <v>3600</v>
      </c>
      <c r="F218" s="179">
        <f t="shared" si="12"/>
        <v>3304.7080000000001</v>
      </c>
      <c r="G218" s="179"/>
      <c r="H218" s="184">
        <v>3304.7080000000001</v>
      </c>
      <c r="I218" s="181"/>
      <c r="J218" s="181"/>
      <c r="K218" s="181"/>
      <c r="L218" s="181"/>
      <c r="M218" s="181"/>
      <c r="N218" s="182"/>
      <c r="O218" s="190">
        <f t="shared" si="10"/>
        <v>91.797444444444437</v>
      </c>
      <c r="P218" s="190"/>
      <c r="Q218" s="190">
        <f t="shared" si="11"/>
        <v>91.797444444444437</v>
      </c>
    </row>
    <row r="219" spans="1:17" s="132" customFormat="1" ht="33.75" customHeight="1">
      <c r="A219" s="131">
        <v>8</v>
      </c>
      <c r="B219" s="183" t="s">
        <v>368</v>
      </c>
      <c r="C219" s="179">
        <v>30437</v>
      </c>
      <c r="D219" s="179"/>
      <c r="E219" s="184">
        <v>30437</v>
      </c>
      <c r="F219" s="179">
        <f t="shared" si="12"/>
        <v>30900</v>
      </c>
      <c r="G219" s="179"/>
      <c r="H219" s="184">
        <f>H220</f>
        <v>30900</v>
      </c>
      <c r="I219" s="181"/>
      <c r="J219" s="181"/>
      <c r="K219" s="181"/>
      <c r="L219" s="181"/>
      <c r="M219" s="181"/>
      <c r="N219" s="182"/>
      <c r="O219" s="190">
        <f t="shared" si="10"/>
        <v>101.52117488582975</v>
      </c>
      <c r="P219" s="190"/>
      <c r="Q219" s="190">
        <f t="shared" si="11"/>
        <v>101.52117488582975</v>
      </c>
    </row>
    <row r="220" spans="1:17" s="132" customFormat="1" ht="12.75">
      <c r="A220" s="185" t="s">
        <v>36</v>
      </c>
      <c r="B220" s="186" t="s">
        <v>369</v>
      </c>
      <c r="C220" s="187">
        <v>30437</v>
      </c>
      <c r="D220" s="179"/>
      <c r="E220" s="189">
        <v>30437</v>
      </c>
      <c r="F220" s="187">
        <f t="shared" si="12"/>
        <v>30900</v>
      </c>
      <c r="G220" s="179"/>
      <c r="H220" s="189">
        <f>30353+547</f>
        <v>30900</v>
      </c>
      <c r="I220" s="181"/>
      <c r="J220" s="181"/>
      <c r="K220" s="181"/>
      <c r="L220" s="181"/>
      <c r="M220" s="181"/>
      <c r="N220" s="182"/>
      <c r="O220" s="190">
        <f t="shared" si="10"/>
        <v>101.52117488582975</v>
      </c>
      <c r="P220" s="190"/>
      <c r="Q220" s="190">
        <f t="shared" si="11"/>
        <v>101.52117488582975</v>
      </c>
    </row>
    <row r="221" spans="1:17" s="132" customFormat="1" ht="33.75" customHeight="1">
      <c r="A221" s="131">
        <v>9</v>
      </c>
      <c r="B221" s="183" t="s">
        <v>370</v>
      </c>
      <c r="C221" s="179">
        <v>2340</v>
      </c>
      <c r="D221" s="179">
        <v>0</v>
      </c>
      <c r="E221" s="184">
        <v>2340</v>
      </c>
      <c r="F221" s="179">
        <f t="shared" si="12"/>
        <v>1136.6969999999999</v>
      </c>
      <c r="G221" s="179"/>
      <c r="H221" s="184">
        <f>SUM(H222:H222)</f>
        <v>1136.6969999999999</v>
      </c>
      <c r="I221" s="181"/>
      <c r="J221" s="181"/>
      <c r="K221" s="181"/>
      <c r="L221" s="181"/>
      <c r="M221" s="181"/>
      <c r="N221" s="182"/>
      <c r="O221" s="190">
        <f t="shared" si="10"/>
        <v>48.576794871794867</v>
      </c>
      <c r="P221" s="190"/>
      <c r="Q221" s="190">
        <f t="shared" si="11"/>
        <v>48.576794871794867</v>
      </c>
    </row>
    <row r="222" spans="1:17" s="132" customFormat="1" ht="25.5">
      <c r="A222" s="185" t="s">
        <v>36</v>
      </c>
      <c r="B222" s="191" t="s">
        <v>371</v>
      </c>
      <c r="C222" s="187">
        <v>2340</v>
      </c>
      <c r="D222" s="187"/>
      <c r="E222" s="189">
        <v>2340</v>
      </c>
      <c r="F222" s="187">
        <f t="shared" si="12"/>
        <v>1136.6969999999999</v>
      </c>
      <c r="G222" s="187"/>
      <c r="H222" s="189">
        <v>1136.6969999999999</v>
      </c>
      <c r="I222" s="181"/>
      <c r="J222" s="181"/>
      <c r="K222" s="181"/>
      <c r="L222" s="181"/>
      <c r="M222" s="181"/>
      <c r="N222" s="182"/>
      <c r="O222" s="190">
        <f t="shared" si="10"/>
        <v>48.576794871794867</v>
      </c>
      <c r="P222" s="190"/>
      <c r="Q222" s="190">
        <f t="shared" si="11"/>
        <v>48.576794871794867</v>
      </c>
    </row>
    <row r="223" spans="1:17" s="132" customFormat="1" ht="33.75" customHeight="1">
      <c r="A223" s="131">
        <v>10</v>
      </c>
      <c r="B223" s="183" t="s">
        <v>372</v>
      </c>
      <c r="C223" s="179">
        <v>51139</v>
      </c>
      <c r="D223" s="179"/>
      <c r="E223" s="184">
        <v>51139</v>
      </c>
      <c r="F223" s="179">
        <f t="shared" si="12"/>
        <v>49186.201000000001</v>
      </c>
      <c r="G223" s="179"/>
      <c r="H223" s="184">
        <f>SUM(H224:H231)</f>
        <v>49186.201000000001</v>
      </c>
      <c r="I223" s="181"/>
      <c r="J223" s="181"/>
      <c r="K223" s="181"/>
      <c r="L223" s="181"/>
      <c r="M223" s="181"/>
      <c r="N223" s="182"/>
      <c r="O223" s="190">
        <f t="shared" si="10"/>
        <v>96.181389937229895</v>
      </c>
      <c r="P223" s="190"/>
      <c r="Q223" s="190">
        <f t="shared" si="11"/>
        <v>96.181389937229895</v>
      </c>
    </row>
    <row r="224" spans="1:17" s="132" customFormat="1" ht="25.5">
      <c r="A224" s="185" t="s">
        <v>36</v>
      </c>
      <c r="B224" s="186" t="s">
        <v>373</v>
      </c>
      <c r="C224" s="187">
        <v>11898</v>
      </c>
      <c r="D224" s="187"/>
      <c r="E224" s="189">
        <v>11898</v>
      </c>
      <c r="F224" s="187">
        <f t="shared" si="12"/>
        <v>11830.07</v>
      </c>
      <c r="G224" s="187"/>
      <c r="H224" s="189">
        <v>11830.07</v>
      </c>
      <c r="I224" s="181"/>
      <c r="J224" s="181"/>
      <c r="K224" s="181"/>
      <c r="L224" s="181"/>
      <c r="M224" s="181"/>
      <c r="N224" s="182"/>
      <c r="O224" s="190">
        <f t="shared" si="10"/>
        <v>99.429063708186249</v>
      </c>
      <c r="P224" s="190"/>
      <c r="Q224" s="190">
        <f t="shared" si="11"/>
        <v>99.429063708186249</v>
      </c>
    </row>
    <row r="225" spans="1:17" s="132" customFormat="1" ht="12.75">
      <c r="A225" s="185" t="s">
        <v>36</v>
      </c>
      <c r="B225" s="186" t="s">
        <v>374</v>
      </c>
      <c r="C225" s="187">
        <v>13190</v>
      </c>
      <c r="D225" s="187"/>
      <c r="E225" s="189">
        <v>13190</v>
      </c>
      <c r="F225" s="187">
        <f t="shared" si="12"/>
        <v>13423.097</v>
      </c>
      <c r="G225" s="187"/>
      <c r="H225" s="189">
        <f>13358.097+65</f>
        <v>13423.097</v>
      </c>
      <c r="I225" s="181"/>
      <c r="J225" s="181"/>
      <c r="K225" s="181"/>
      <c r="L225" s="181"/>
      <c r="M225" s="181"/>
      <c r="N225" s="182"/>
      <c r="O225" s="190">
        <f t="shared" si="10"/>
        <v>101.76722517058377</v>
      </c>
      <c r="P225" s="190"/>
      <c r="Q225" s="190">
        <f t="shared" si="11"/>
        <v>101.76722517058377</v>
      </c>
    </row>
    <row r="226" spans="1:17" s="132" customFormat="1" ht="25.5">
      <c r="A226" s="185" t="s">
        <v>36</v>
      </c>
      <c r="B226" s="186" t="s">
        <v>375</v>
      </c>
      <c r="C226" s="187">
        <v>9767</v>
      </c>
      <c r="D226" s="187"/>
      <c r="E226" s="189">
        <v>9767</v>
      </c>
      <c r="F226" s="187">
        <f t="shared" si="12"/>
        <v>9721.6170000000002</v>
      </c>
      <c r="G226" s="187"/>
      <c r="H226" s="189">
        <v>9721.6170000000002</v>
      </c>
      <c r="I226" s="181"/>
      <c r="J226" s="181"/>
      <c r="K226" s="181"/>
      <c r="L226" s="181"/>
      <c r="M226" s="181"/>
      <c r="N226" s="182"/>
      <c r="O226" s="190">
        <f t="shared" si="10"/>
        <v>99.535343503634692</v>
      </c>
      <c r="P226" s="190"/>
      <c r="Q226" s="190">
        <f t="shared" si="11"/>
        <v>99.535343503634692</v>
      </c>
    </row>
    <row r="227" spans="1:17" s="132" customFormat="1" ht="12.75">
      <c r="A227" s="185" t="s">
        <v>36</v>
      </c>
      <c r="B227" s="186" t="s">
        <v>376</v>
      </c>
      <c r="C227" s="187">
        <v>5723</v>
      </c>
      <c r="D227" s="187"/>
      <c r="E227" s="189">
        <v>5723</v>
      </c>
      <c r="F227" s="187">
        <f t="shared" si="12"/>
        <v>5454.6</v>
      </c>
      <c r="G227" s="187"/>
      <c r="H227" s="189">
        <v>5454.6</v>
      </c>
      <c r="I227" s="181"/>
      <c r="J227" s="181"/>
      <c r="K227" s="181"/>
      <c r="L227" s="181"/>
      <c r="M227" s="181"/>
      <c r="N227" s="182"/>
      <c r="O227" s="190">
        <f t="shared" si="10"/>
        <v>95.310152018172289</v>
      </c>
      <c r="P227" s="190"/>
      <c r="Q227" s="190">
        <f t="shared" si="11"/>
        <v>95.310152018172289</v>
      </c>
    </row>
    <row r="228" spans="1:17" s="132" customFormat="1" ht="12.75">
      <c r="A228" s="185" t="s">
        <v>36</v>
      </c>
      <c r="B228" s="186" t="s">
        <v>377</v>
      </c>
      <c r="C228" s="187">
        <v>504</v>
      </c>
      <c r="D228" s="187"/>
      <c r="E228" s="189">
        <v>504</v>
      </c>
      <c r="F228" s="187">
        <f t="shared" si="12"/>
        <v>356.28</v>
      </c>
      <c r="G228" s="187"/>
      <c r="H228" s="189">
        <v>356.28</v>
      </c>
      <c r="I228" s="181"/>
      <c r="J228" s="181"/>
      <c r="K228" s="181"/>
      <c r="L228" s="181"/>
      <c r="M228" s="181"/>
      <c r="N228" s="182"/>
      <c r="O228" s="190">
        <f t="shared" si="10"/>
        <v>70.690476190476176</v>
      </c>
      <c r="P228" s="190"/>
      <c r="Q228" s="190">
        <f t="shared" si="11"/>
        <v>70.690476190476176</v>
      </c>
    </row>
    <row r="229" spans="1:17" s="132" customFormat="1" ht="12.75">
      <c r="A229" s="185" t="s">
        <v>36</v>
      </c>
      <c r="B229" s="186" t="s">
        <v>378</v>
      </c>
      <c r="C229" s="187">
        <v>0</v>
      </c>
      <c r="D229" s="179"/>
      <c r="E229" s="189"/>
      <c r="F229" s="187">
        <f t="shared" si="12"/>
        <v>3421.4</v>
      </c>
      <c r="G229" s="179"/>
      <c r="H229" s="189">
        <v>3421.4</v>
      </c>
      <c r="I229" s="181"/>
      <c r="J229" s="181"/>
      <c r="K229" s="181"/>
      <c r="L229" s="181"/>
      <c r="M229" s="181"/>
      <c r="N229" s="182"/>
      <c r="O229" s="190"/>
      <c r="P229" s="190"/>
      <c r="Q229" s="190"/>
    </row>
    <row r="230" spans="1:17" s="132" customFormat="1" ht="25.5">
      <c r="A230" s="185" t="s">
        <v>36</v>
      </c>
      <c r="B230" s="186" t="s">
        <v>379</v>
      </c>
      <c r="C230" s="187">
        <v>1500</v>
      </c>
      <c r="D230" s="187"/>
      <c r="E230" s="189">
        <v>1500</v>
      </c>
      <c r="F230" s="187">
        <f t="shared" si="12"/>
        <v>3293.1370000000002</v>
      </c>
      <c r="G230" s="187"/>
      <c r="H230" s="189">
        <v>3293.1370000000002</v>
      </c>
      <c r="I230" s="181"/>
      <c r="J230" s="181"/>
      <c r="K230" s="181"/>
      <c r="L230" s="181"/>
      <c r="M230" s="181"/>
      <c r="N230" s="182"/>
      <c r="O230" s="190">
        <f t="shared" si="10"/>
        <v>219.54246666666668</v>
      </c>
      <c r="P230" s="190"/>
      <c r="Q230" s="190">
        <f t="shared" si="11"/>
        <v>219.54246666666668</v>
      </c>
    </row>
    <row r="231" spans="1:17" s="132" customFormat="1" ht="12.75">
      <c r="A231" s="185" t="s">
        <v>36</v>
      </c>
      <c r="B231" s="186" t="s">
        <v>380</v>
      </c>
      <c r="C231" s="179">
        <v>2000</v>
      </c>
      <c r="D231" s="179">
        <v>0</v>
      </c>
      <c r="E231" s="189">
        <v>2000</v>
      </c>
      <c r="F231" s="179">
        <f t="shared" si="12"/>
        <v>1686</v>
      </c>
      <c r="G231" s="179"/>
      <c r="H231" s="189">
        <f>SUM(H232:H235)</f>
        <v>1686</v>
      </c>
      <c r="I231" s="181"/>
      <c r="J231" s="181"/>
      <c r="K231" s="181"/>
      <c r="L231" s="181"/>
      <c r="M231" s="181"/>
      <c r="N231" s="182"/>
      <c r="O231" s="190">
        <f t="shared" si="10"/>
        <v>84.3</v>
      </c>
      <c r="P231" s="190"/>
      <c r="Q231" s="190">
        <f t="shared" si="11"/>
        <v>84.3</v>
      </c>
    </row>
    <row r="232" spans="1:17" s="132" customFormat="1" ht="12.75">
      <c r="A232" s="185" t="s">
        <v>273</v>
      </c>
      <c r="B232" s="196" t="s">
        <v>381</v>
      </c>
      <c r="C232" s="187">
        <v>0</v>
      </c>
      <c r="D232" s="187"/>
      <c r="E232" s="189"/>
      <c r="F232" s="187">
        <f t="shared" si="12"/>
        <v>15</v>
      </c>
      <c r="G232" s="187"/>
      <c r="H232" s="189">
        <v>15</v>
      </c>
      <c r="I232" s="181"/>
      <c r="J232" s="181"/>
      <c r="K232" s="181"/>
      <c r="L232" s="181"/>
      <c r="M232" s="181"/>
      <c r="N232" s="182"/>
      <c r="O232" s="190"/>
      <c r="P232" s="190"/>
      <c r="Q232" s="190"/>
    </row>
    <row r="233" spans="1:17" s="132" customFormat="1" ht="25.5">
      <c r="A233" s="185" t="s">
        <v>273</v>
      </c>
      <c r="B233" s="186" t="s">
        <v>373</v>
      </c>
      <c r="C233" s="187">
        <v>0</v>
      </c>
      <c r="D233" s="187"/>
      <c r="E233" s="189"/>
      <c r="F233" s="187">
        <f t="shared" si="12"/>
        <v>147</v>
      </c>
      <c r="G233" s="187"/>
      <c r="H233" s="189">
        <v>147</v>
      </c>
      <c r="I233" s="181"/>
      <c r="J233" s="181"/>
      <c r="K233" s="181"/>
      <c r="L233" s="181"/>
      <c r="M233" s="181"/>
      <c r="N233" s="182"/>
      <c r="O233" s="190"/>
      <c r="P233" s="190"/>
      <c r="Q233" s="190"/>
    </row>
    <row r="234" spans="1:17" s="132" customFormat="1" ht="25.5">
      <c r="A234" s="185" t="s">
        <v>273</v>
      </c>
      <c r="B234" s="186" t="s">
        <v>375</v>
      </c>
      <c r="C234" s="179">
        <v>0</v>
      </c>
      <c r="D234" s="179"/>
      <c r="E234" s="189"/>
      <c r="F234" s="187">
        <f t="shared" si="12"/>
        <v>127</v>
      </c>
      <c r="G234" s="179"/>
      <c r="H234" s="189">
        <v>127</v>
      </c>
      <c r="I234" s="181"/>
      <c r="J234" s="181"/>
      <c r="K234" s="181"/>
      <c r="L234" s="181"/>
      <c r="M234" s="181"/>
      <c r="N234" s="182"/>
      <c r="O234" s="190"/>
      <c r="P234" s="190"/>
      <c r="Q234" s="190"/>
    </row>
    <row r="235" spans="1:17" s="132" customFormat="1" ht="12.75">
      <c r="A235" s="185" t="s">
        <v>273</v>
      </c>
      <c r="B235" s="186" t="s">
        <v>382</v>
      </c>
      <c r="C235" s="179">
        <v>0</v>
      </c>
      <c r="D235" s="179">
        <v>0</v>
      </c>
      <c r="E235" s="189"/>
      <c r="F235" s="187">
        <f t="shared" si="12"/>
        <v>1397</v>
      </c>
      <c r="G235" s="179"/>
      <c r="H235" s="189">
        <f>105.7+1291.3</f>
        <v>1397</v>
      </c>
      <c r="I235" s="181"/>
      <c r="J235" s="181"/>
      <c r="K235" s="181"/>
      <c r="L235" s="181"/>
      <c r="M235" s="181"/>
      <c r="N235" s="182"/>
      <c r="O235" s="190"/>
      <c r="P235" s="190"/>
      <c r="Q235" s="190"/>
    </row>
    <row r="236" spans="1:17" s="132" customFormat="1" ht="33.75" customHeight="1">
      <c r="A236" s="131">
        <v>11</v>
      </c>
      <c r="B236" s="194" t="s">
        <v>383</v>
      </c>
      <c r="C236" s="179">
        <v>194929</v>
      </c>
      <c r="D236" s="179"/>
      <c r="E236" s="184">
        <v>194929</v>
      </c>
      <c r="F236" s="179">
        <f t="shared" si="12"/>
        <v>155273.45019999999</v>
      </c>
      <c r="G236" s="179"/>
      <c r="H236" s="184">
        <f>H237+H238+H252+H253+H257+H258+H259+H260+H261+H262+H263+H269+H270</f>
        <v>155273.45019999999</v>
      </c>
      <c r="I236" s="181"/>
      <c r="J236" s="181"/>
      <c r="K236" s="181"/>
      <c r="L236" s="181"/>
      <c r="M236" s="181"/>
      <c r="N236" s="182"/>
      <c r="O236" s="190">
        <f t="shared" si="10"/>
        <v>79.656413463363577</v>
      </c>
      <c r="P236" s="190"/>
      <c r="Q236" s="190">
        <f t="shared" si="11"/>
        <v>79.656413463363577</v>
      </c>
    </row>
    <row r="237" spans="1:17" s="132" customFormat="1" ht="12.75">
      <c r="A237" s="201" t="s">
        <v>36</v>
      </c>
      <c r="B237" s="195" t="s">
        <v>384</v>
      </c>
      <c r="C237" s="179">
        <v>450</v>
      </c>
      <c r="D237" s="179">
        <v>0</v>
      </c>
      <c r="E237" s="189">
        <v>450</v>
      </c>
      <c r="F237" s="187">
        <f t="shared" si="12"/>
        <v>405</v>
      </c>
      <c r="G237" s="179"/>
      <c r="H237" s="189">
        <v>405</v>
      </c>
      <c r="I237" s="181"/>
      <c r="J237" s="181"/>
      <c r="K237" s="181"/>
      <c r="L237" s="181"/>
      <c r="M237" s="181"/>
      <c r="N237" s="182"/>
      <c r="O237" s="190">
        <f t="shared" si="10"/>
        <v>90</v>
      </c>
      <c r="P237" s="190"/>
      <c r="Q237" s="190">
        <f t="shared" si="11"/>
        <v>90</v>
      </c>
    </row>
    <row r="238" spans="1:17" s="132" customFormat="1" ht="12.75">
      <c r="A238" s="201" t="s">
        <v>36</v>
      </c>
      <c r="B238" s="195" t="s">
        <v>385</v>
      </c>
      <c r="C238" s="187">
        <v>26146</v>
      </c>
      <c r="D238" s="187"/>
      <c r="E238" s="189">
        <v>26146</v>
      </c>
      <c r="F238" s="187">
        <f t="shared" si="12"/>
        <v>30693.642</v>
      </c>
      <c r="G238" s="187"/>
      <c r="H238" s="189">
        <f>SUM(H239:H251)</f>
        <v>30693.642</v>
      </c>
      <c r="I238" s="181"/>
      <c r="J238" s="181"/>
      <c r="K238" s="181"/>
      <c r="L238" s="181"/>
      <c r="M238" s="181"/>
      <c r="N238" s="182"/>
      <c r="O238" s="190">
        <f t="shared" si="10"/>
        <v>117.3932609194523</v>
      </c>
      <c r="P238" s="190"/>
      <c r="Q238" s="190">
        <f t="shared" si="11"/>
        <v>117.3932609194523</v>
      </c>
    </row>
    <row r="239" spans="1:17" s="132" customFormat="1" ht="12.75">
      <c r="A239" s="201" t="s">
        <v>273</v>
      </c>
      <c r="B239" s="195" t="s">
        <v>386</v>
      </c>
      <c r="C239" s="179">
        <v>1315</v>
      </c>
      <c r="D239" s="179">
        <v>0</v>
      </c>
      <c r="E239" s="189">
        <v>1315</v>
      </c>
      <c r="F239" s="187">
        <f t="shared" si="12"/>
        <v>4022.6219999999998</v>
      </c>
      <c r="G239" s="179"/>
      <c r="H239" s="189">
        <v>4022.6219999999998</v>
      </c>
      <c r="I239" s="181"/>
      <c r="J239" s="181"/>
      <c r="K239" s="181"/>
      <c r="L239" s="181"/>
      <c r="M239" s="181"/>
      <c r="N239" s="182"/>
      <c r="O239" s="190">
        <f t="shared" si="10"/>
        <v>305.90281368821292</v>
      </c>
      <c r="P239" s="190"/>
      <c r="Q239" s="190">
        <f t="shared" si="11"/>
        <v>305.90281368821292</v>
      </c>
    </row>
    <row r="240" spans="1:17" s="132" customFormat="1" ht="12.75">
      <c r="A240" s="201" t="s">
        <v>273</v>
      </c>
      <c r="B240" s="195" t="s">
        <v>290</v>
      </c>
      <c r="C240" s="187">
        <v>1645</v>
      </c>
      <c r="D240" s="187"/>
      <c r="E240" s="189">
        <v>1645</v>
      </c>
      <c r="F240" s="187">
        <f t="shared" si="12"/>
        <v>1636.8040000000001</v>
      </c>
      <c r="G240" s="187"/>
      <c r="H240" s="189">
        <v>1636.8040000000001</v>
      </c>
      <c r="I240" s="181"/>
      <c r="J240" s="181"/>
      <c r="K240" s="181"/>
      <c r="L240" s="181"/>
      <c r="M240" s="181"/>
      <c r="N240" s="182"/>
      <c r="O240" s="190">
        <f t="shared" si="10"/>
        <v>99.501762917933135</v>
      </c>
      <c r="P240" s="190"/>
      <c r="Q240" s="190">
        <f t="shared" si="11"/>
        <v>99.501762917933135</v>
      </c>
    </row>
    <row r="241" spans="1:17" s="132" customFormat="1" ht="12.75">
      <c r="A241" s="201" t="s">
        <v>273</v>
      </c>
      <c r="B241" s="195" t="s">
        <v>387</v>
      </c>
      <c r="C241" s="187">
        <v>5117</v>
      </c>
      <c r="D241" s="187"/>
      <c r="E241" s="189">
        <v>5117</v>
      </c>
      <c r="F241" s="187">
        <f t="shared" si="12"/>
        <v>7048.3190000000004</v>
      </c>
      <c r="G241" s="187"/>
      <c r="H241" s="189">
        <f>6561.319+487</f>
        <v>7048.3190000000004</v>
      </c>
      <c r="I241" s="181"/>
      <c r="J241" s="181"/>
      <c r="K241" s="181"/>
      <c r="L241" s="181"/>
      <c r="M241" s="181"/>
      <c r="N241" s="182"/>
      <c r="O241" s="190">
        <f t="shared" si="10"/>
        <v>137.74318936877077</v>
      </c>
      <c r="P241" s="190"/>
      <c r="Q241" s="190">
        <f t="shared" si="11"/>
        <v>137.74318936877077</v>
      </c>
    </row>
    <row r="242" spans="1:17" s="132" customFormat="1" ht="12.75">
      <c r="A242" s="201" t="s">
        <v>273</v>
      </c>
      <c r="B242" s="195" t="s">
        <v>388</v>
      </c>
      <c r="C242" s="187">
        <v>3837</v>
      </c>
      <c r="D242" s="187"/>
      <c r="E242" s="189">
        <v>3837</v>
      </c>
      <c r="F242" s="187">
        <f t="shared" si="12"/>
        <v>3734.9639999999999</v>
      </c>
      <c r="G242" s="187"/>
      <c r="H242" s="189">
        <v>3734.9639999999999</v>
      </c>
      <c r="I242" s="181"/>
      <c r="J242" s="181"/>
      <c r="K242" s="181"/>
      <c r="L242" s="181"/>
      <c r="M242" s="181"/>
      <c r="N242" s="182"/>
      <c r="O242" s="190">
        <f t="shared" si="10"/>
        <v>97.340734949179037</v>
      </c>
      <c r="P242" s="190"/>
      <c r="Q242" s="190">
        <f t="shared" si="11"/>
        <v>97.340734949179037</v>
      </c>
    </row>
    <row r="243" spans="1:17" s="132" customFormat="1" ht="12.75">
      <c r="A243" s="201" t="s">
        <v>273</v>
      </c>
      <c r="B243" s="195" t="s">
        <v>389</v>
      </c>
      <c r="C243" s="187">
        <v>0</v>
      </c>
      <c r="D243" s="187"/>
      <c r="E243" s="189"/>
      <c r="F243" s="187">
        <f t="shared" si="12"/>
        <v>0</v>
      </c>
      <c r="G243" s="187"/>
      <c r="H243" s="189"/>
      <c r="I243" s="181"/>
      <c r="J243" s="181"/>
      <c r="K243" s="181"/>
      <c r="L243" s="181"/>
      <c r="M243" s="181"/>
      <c r="N243" s="182"/>
      <c r="O243" s="190"/>
      <c r="P243" s="190"/>
      <c r="Q243" s="190"/>
    </row>
    <row r="244" spans="1:17" s="132" customFormat="1" ht="12.75">
      <c r="A244" s="201" t="s">
        <v>273</v>
      </c>
      <c r="B244" s="195" t="s">
        <v>390</v>
      </c>
      <c r="C244" s="187">
        <v>0</v>
      </c>
      <c r="D244" s="187"/>
      <c r="E244" s="189"/>
      <c r="F244" s="187">
        <f t="shared" si="12"/>
        <v>0</v>
      </c>
      <c r="G244" s="187"/>
      <c r="H244" s="189"/>
      <c r="I244" s="181"/>
      <c r="J244" s="181"/>
      <c r="K244" s="181"/>
      <c r="L244" s="181"/>
      <c r="M244" s="181"/>
      <c r="N244" s="182"/>
      <c r="O244" s="190"/>
      <c r="P244" s="190"/>
      <c r="Q244" s="190"/>
    </row>
    <row r="245" spans="1:17" s="132" customFormat="1" ht="12.75">
      <c r="A245" s="201" t="s">
        <v>273</v>
      </c>
      <c r="B245" s="195" t="s">
        <v>391</v>
      </c>
      <c r="C245" s="187">
        <v>810</v>
      </c>
      <c r="D245" s="187"/>
      <c r="E245" s="189">
        <v>810</v>
      </c>
      <c r="F245" s="187">
        <f t="shared" si="12"/>
        <v>780</v>
      </c>
      <c r="G245" s="187"/>
      <c r="H245" s="189">
        <v>780</v>
      </c>
      <c r="I245" s="181"/>
      <c r="J245" s="181"/>
      <c r="K245" s="181"/>
      <c r="L245" s="181"/>
      <c r="M245" s="181"/>
      <c r="N245" s="182"/>
      <c r="O245" s="190">
        <f t="shared" si="10"/>
        <v>96.296296296296291</v>
      </c>
      <c r="P245" s="190"/>
      <c r="Q245" s="190">
        <f t="shared" si="11"/>
        <v>96.296296296296291</v>
      </c>
    </row>
    <row r="246" spans="1:17" s="132" customFormat="1" ht="12.75">
      <c r="A246" s="201" t="s">
        <v>273</v>
      </c>
      <c r="B246" s="195" t="s">
        <v>392</v>
      </c>
      <c r="C246" s="187">
        <v>862</v>
      </c>
      <c r="D246" s="187"/>
      <c r="E246" s="189">
        <v>862</v>
      </c>
      <c r="F246" s="187">
        <f t="shared" si="12"/>
        <v>854.03700000000003</v>
      </c>
      <c r="G246" s="187"/>
      <c r="H246" s="189">
        <v>854.03700000000003</v>
      </c>
      <c r="I246" s="181"/>
      <c r="J246" s="181"/>
      <c r="K246" s="181"/>
      <c r="L246" s="181"/>
      <c r="M246" s="181"/>
      <c r="N246" s="182"/>
      <c r="O246" s="190">
        <f t="shared" si="10"/>
        <v>99.076218097447793</v>
      </c>
      <c r="P246" s="190"/>
      <c r="Q246" s="190">
        <f t="shared" si="11"/>
        <v>99.076218097447793</v>
      </c>
    </row>
    <row r="247" spans="1:17" s="132" customFormat="1" ht="12.75">
      <c r="A247" s="201" t="s">
        <v>273</v>
      </c>
      <c r="B247" s="195" t="s">
        <v>393</v>
      </c>
      <c r="C247" s="187">
        <v>3036</v>
      </c>
      <c r="D247" s="187">
        <v>0</v>
      </c>
      <c r="E247" s="189">
        <v>3036</v>
      </c>
      <c r="F247" s="187">
        <f t="shared" si="12"/>
        <v>3100.7260000000001</v>
      </c>
      <c r="G247" s="187"/>
      <c r="H247" s="189">
        <v>3100.7260000000001</v>
      </c>
      <c r="I247" s="181"/>
      <c r="J247" s="181"/>
      <c r="K247" s="181"/>
      <c r="L247" s="181"/>
      <c r="M247" s="181"/>
      <c r="N247" s="182"/>
      <c r="O247" s="190">
        <f t="shared" si="10"/>
        <v>102.13194993412384</v>
      </c>
      <c r="P247" s="190"/>
      <c r="Q247" s="190">
        <f t="shared" si="11"/>
        <v>102.13194993412384</v>
      </c>
    </row>
    <row r="248" spans="1:17" s="132" customFormat="1" ht="12.75">
      <c r="A248" s="201" t="s">
        <v>273</v>
      </c>
      <c r="B248" s="195" t="s">
        <v>394</v>
      </c>
      <c r="C248" s="187">
        <v>2075</v>
      </c>
      <c r="D248" s="187"/>
      <c r="E248" s="189">
        <v>2075</v>
      </c>
      <c r="F248" s="187">
        <f t="shared" si="12"/>
        <v>2141.9690000000001</v>
      </c>
      <c r="G248" s="187"/>
      <c r="H248" s="189">
        <v>2141.9690000000001</v>
      </c>
      <c r="I248" s="181"/>
      <c r="J248" s="181"/>
      <c r="K248" s="181"/>
      <c r="L248" s="181"/>
      <c r="M248" s="181"/>
      <c r="N248" s="182"/>
      <c r="O248" s="190">
        <f t="shared" si="10"/>
        <v>103.22742168674699</v>
      </c>
      <c r="P248" s="190"/>
      <c r="Q248" s="190">
        <f t="shared" si="11"/>
        <v>103.22742168674699</v>
      </c>
    </row>
    <row r="249" spans="1:17" s="132" customFormat="1" ht="12.75">
      <c r="A249" s="201" t="s">
        <v>273</v>
      </c>
      <c r="B249" s="195" t="s">
        <v>395</v>
      </c>
      <c r="C249" s="187">
        <v>2512</v>
      </c>
      <c r="D249" s="187"/>
      <c r="E249" s="189">
        <v>2512</v>
      </c>
      <c r="F249" s="187">
        <f t="shared" si="12"/>
        <v>2584.748</v>
      </c>
      <c r="G249" s="187"/>
      <c r="H249" s="189">
        <v>2584.748</v>
      </c>
      <c r="I249" s="181"/>
      <c r="J249" s="181"/>
      <c r="K249" s="181"/>
      <c r="L249" s="181"/>
      <c r="M249" s="181"/>
      <c r="N249" s="182"/>
      <c r="O249" s="190">
        <f t="shared" si="10"/>
        <v>102.89601910828026</v>
      </c>
      <c r="P249" s="190"/>
      <c r="Q249" s="190">
        <f t="shared" si="11"/>
        <v>102.89601910828026</v>
      </c>
    </row>
    <row r="250" spans="1:17" s="132" customFormat="1" ht="12.75">
      <c r="A250" s="201" t="s">
        <v>273</v>
      </c>
      <c r="B250" s="195" t="s">
        <v>396</v>
      </c>
      <c r="C250" s="187">
        <v>3478</v>
      </c>
      <c r="D250" s="187"/>
      <c r="E250" s="189">
        <v>3478</v>
      </c>
      <c r="F250" s="187">
        <f t="shared" si="12"/>
        <v>3417.5160000000001</v>
      </c>
      <c r="G250" s="187"/>
      <c r="H250" s="189">
        <v>3417.5160000000001</v>
      </c>
      <c r="I250" s="181"/>
      <c r="J250" s="181"/>
      <c r="K250" s="181"/>
      <c r="L250" s="181"/>
      <c r="M250" s="181"/>
      <c r="N250" s="182"/>
      <c r="O250" s="190">
        <f t="shared" si="10"/>
        <v>98.260954571592876</v>
      </c>
      <c r="P250" s="190"/>
      <c r="Q250" s="190">
        <f t="shared" si="11"/>
        <v>98.260954571592876</v>
      </c>
    </row>
    <row r="251" spans="1:17" s="132" customFormat="1" ht="12.75">
      <c r="A251" s="201" t="s">
        <v>273</v>
      </c>
      <c r="B251" s="195" t="s">
        <v>397</v>
      </c>
      <c r="C251" s="187">
        <v>1459</v>
      </c>
      <c r="D251" s="187"/>
      <c r="E251" s="189">
        <v>1459</v>
      </c>
      <c r="F251" s="187">
        <f t="shared" si="12"/>
        <v>1371.9369999999999</v>
      </c>
      <c r="G251" s="187"/>
      <c r="H251" s="189">
        <v>1371.9369999999999</v>
      </c>
      <c r="I251" s="181"/>
      <c r="J251" s="181"/>
      <c r="K251" s="181"/>
      <c r="L251" s="181"/>
      <c r="M251" s="181"/>
      <c r="N251" s="182"/>
      <c r="O251" s="190">
        <f t="shared" si="10"/>
        <v>94.032693625771074</v>
      </c>
      <c r="P251" s="190"/>
      <c r="Q251" s="190">
        <f t="shared" si="11"/>
        <v>94.032693625771074</v>
      </c>
    </row>
    <row r="252" spans="1:17" s="132" customFormat="1" ht="12.75">
      <c r="A252" s="185" t="s">
        <v>36</v>
      </c>
      <c r="B252" s="196" t="s">
        <v>398</v>
      </c>
      <c r="C252" s="187">
        <v>55000</v>
      </c>
      <c r="D252" s="187">
        <v>0</v>
      </c>
      <c r="E252" s="199">
        <v>55000</v>
      </c>
      <c r="F252" s="187">
        <f t="shared" si="12"/>
        <v>52853.192999999999</v>
      </c>
      <c r="G252" s="187"/>
      <c r="H252" s="189">
        <f>52005+848.193</f>
        <v>52853.192999999999</v>
      </c>
      <c r="I252" s="181"/>
      <c r="J252" s="181"/>
      <c r="K252" s="181"/>
      <c r="L252" s="181"/>
      <c r="M252" s="181"/>
      <c r="N252" s="182"/>
      <c r="O252" s="190">
        <f t="shared" si="10"/>
        <v>96.096714545454546</v>
      </c>
      <c r="P252" s="190"/>
      <c r="Q252" s="190">
        <f t="shared" si="11"/>
        <v>96.096714545454546</v>
      </c>
    </row>
    <row r="253" spans="1:17" s="132" customFormat="1" ht="12.75">
      <c r="A253" s="185" t="s">
        <v>36</v>
      </c>
      <c r="B253" s="196" t="s">
        <v>399</v>
      </c>
      <c r="C253" s="187">
        <v>10000</v>
      </c>
      <c r="D253" s="187"/>
      <c r="E253" s="199">
        <v>10000</v>
      </c>
      <c r="F253" s="187">
        <f t="shared" si="12"/>
        <v>3799.1496999999999</v>
      </c>
      <c r="G253" s="187"/>
      <c r="H253" s="199">
        <f>SUM(H254:H256)</f>
        <v>3799.1496999999999</v>
      </c>
      <c r="I253" s="181"/>
      <c r="J253" s="181"/>
      <c r="K253" s="181"/>
      <c r="L253" s="181"/>
      <c r="M253" s="181"/>
      <c r="N253" s="182"/>
      <c r="O253" s="190">
        <f t="shared" si="10"/>
        <v>37.991497000000003</v>
      </c>
      <c r="P253" s="190"/>
      <c r="Q253" s="190">
        <f t="shared" si="11"/>
        <v>37.991497000000003</v>
      </c>
    </row>
    <row r="254" spans="1:17" s="132" customFormat="1" ht="38.25">
      <c r="A254" s="185" t="s">
        <v>273</v>
      </c>
      <c r="B254" s="186" t="s">
        <v>400</v>
      </c>
      <c r="C254" s="187">
        <v>0</v>
      </c>
      <c r="D254" s="187"/>
      <c r="E254" s="187"/>
      <c r="F254" s="187">
        <f t="shared" si="12"/>
        <v>2954.701</v>
      </c>
      <c r="G254" s="187"/>
      <c r="H254" s="189">
        <v>2954.701</v>
      </c>
      <c r="I254" s="181"/>
      <c r="J254" s="181"/>
      <c r="K254" s="181"/>
      <c r="L254" s="181"/>
      <c r="M254" s="181"/>
      <c r="N254" s="182"/>
      <c r="O254" s="190"/>
      <c r="P254" s="190"/>
      <c r="Q254" s="190"/>
    </row>
    <row r="255" spans="1:17" s="132" customFormat="1" ht="25.5">
      <c r="A255" s="185" t="s">
        <v>273</v>
      </c>
      <c r="B255" s="195" t="s">
        <v>401</v>
      </c>
      <c r="C255" s="187">
        <v>0</v>
      </c>
      <c r="D255" s="187"/>
      <c r="E255" s="187"/>
      <c r="F255" s="187">
        <f t="shared" si="12"/>
        <v>312.29270000000002</v>
      </c>
      <c r="G255" s="187"/>
      <c r="H255" s="189">
        <v>312.29270000000002</v>
      </c>
      <c r="I255" s="181"/>
      <c r="J255" s="181"/>
      <c r="K255" s="181"/>
      <c r="L255" s="181"/>
      <c r="M255" s="181"/>
      <c r="N255" s="182"/>
      <c r="O255" s="190"/>
      <c r="P255" s="190"/>
      <c r="Q255" s="190"/>
    </row>
    <row r="256" spans="1:17" s="132" customFormat="1" ht="51">
      <c r="A256" s="185" t="s">
        <v>273</v>
      </c>
      <c r="B256" s="195" t="s">
        <v>402</v>
      </c>
      <c r="C256" s="187">
        <v>0</v>
      </c>
      <c r="D256" s="187"/>
      <c r="E256" s="187"/>
      <c r="F256" s="187">
        <f t="shared" si="12"/>
        <v>532.15599999999995</v>
      </c>
      <c r="G256" s="187"/>
      <c r="H256" s="189">
        <v>532.15599999999995</v>
      </c>
      <c r="I256" s="181"/>
      <c r="J256" s="181"/>
      <c r="K256" s="181"/>
      <c r="L256" s="181"/>
      <c r="M256" s="181"/>
      <c r="N256" s="182"/>
      <c r="O256" s="190"/>
      <c r="P256" s="190"/>
      <c r="Q256" s="190"/>
    </row>
    <row r="257" spans="1:17" s="132" customFormat="1" ht="12.75">
      <c r="A257" s="185" t="s">
        <v>36</v>
      </c>
      <c r="B257" s="196" t="s">
        <v>403</v>
      </c>
      <c r="C257" s="187">
        <v>57683</v>
      </c>
      <c r="D257" s="187"/>
      <c r="E257" s="199">
        <v>57683</v>
      </c>
      <c r="F257" s="187">
        <f t="shared" si="12"/>
        <v>23711.4</v>
      </c>
      <c r="G257" s="187"/>
      <c r="H257" s="189">
        <v>23711.4</v>
      </c>
      <c r="I257" s="181"/>
      <c r="J257" s="181"/>
      <c r="K257" s="181"/>
      <c r="L257" s="181"/>
      <c r="M257" s="181"/>
      <c r="N257" s="182"/>
      <c r="O257" s="190">
        <f t="shared" si="10"/>
        <v>41.10639183121544</v>
      </c>
      <c r="P257" s="190"/>
      <c r="Q257" s="190">
        <f t="shared" si="11"/>
        <v>41.10639183121544</v>
      </c>
    </row>
    <row r="258" spans="1:17" s="132" customFormat="1" ht="25.5">
      <c r="A258" s="185" t="s">
        <v>36</v>
      </c>
      <c r="B258" s="196" t="s">
        <v>404</v>
      </c>
      <c r="C258" s="187">
        <v>3500</v>
      </c>
      <c r="D258" s="187"/>
      <c r="E258" s="199">
        <v>3500</v>
      </c>
      <c r="F258" s="187">
        <f t="shared" si="12"/>
        <v>3462.7</v>
      </c>
      <c r="G258" s="187"/>
      <c r="H258" s="189">
        <v>3462.7</v>
      </c>
      <c r="I258" s="181"/>
      <c r="J258" s="181"/>
      <c r="K258" s="181"/>
      <c r="L258" s="181"/>
      <c r="M258" s="181"/>
      <c r="N258" s="182"/>
      <c r="O258" s="190">
        <f t="shared" si="10"/>
        <v>98.934285714285707</v>
      </c>
      <c r="P258" s="190"/>
      <c r="Q258" s="190">
        <f t="shared" si="11"/>
        <v>98.934285714285707</v>
      </c>
    </row>
    <row r="259" spans="1:17" s="132" customFormat="1" ht="25.5">
      <c r="A259" s="185" t="s">
        <v>36</v>
      </c>
      <c r="B259" s="196" t="s">
        <v>405</v>
      </c>
      <c r="C259" s="187">
        <v>2500</v>
      </c>
      <c r="D259" s="187"/>
      <c r="E259" s="199">
        <v>2500</v>
      </c>
      <c r="F259" s="187">
        <f t="shared" si="12"/>
        <v>2318.2489999999998</v>
      </c>
      <c r="G259" s="187"/>
      <c r="H259" s="189">
        <v>2318.2489999999998</v>
      </c>
      <c r="I259" s="181"/>
      <c r="J259" s="181"/>
      <c r="K259" s="181"/>
      <c r="L259" s="181"/>
      <c r="M259" s="181"/>
      <c r="N259" s="182"/>
      <c r="O259" s="190">
        <f t="shared" si="10"/>
        <v>92.729959999999991</v>
      </c>
      <c r="P259" s="190"/>
      <c r="Q259" s="190">
        <f t="shared" si="11"/>
        <v>92.729959999999991</v>
      </c>
    </row>
    <row r="260" spans="1:17" s="132" customFormat="1" ht="25.5">
      <c r="A260" s="185" t="s">
        <v>36</v>
      </c>
      <c r="B260" s="196" t="s">
        <v>406</v>
      </c>
      <c r="C260" s="187">
        <v>650</v>
      </c>
      <c r="D260" s="187"/>
      <c r="E260" s="199">
        <v>650</v>
      </c>
      <c r="F260" s="187">
        <f t="shared" si="12"/>
        <v>650</v>
      </c>
      <c r="G260" s="187"/>
      <c r="H260" s="189">
        <v>650</v>
      </c>
      <c r="I260" s="181"/>
      <c r="J260" s="181"/>
      <c r="K260" s="181"/>
      <c r="L260" s="181"/>
      <c r="M260" s="181"/>
      <c r="N260" s="182"/>
      <c r="O260" s="190">
        <f t="shared" si="10"/>
        <v>100</v>
      </c>
      <c r="P260" s="190"/>
      <c r="Q260" s="190">
        <f t="shared" si="11"/>
        <v>100</v>
      </c>
    </row>
    <row r="261" spans="1:17" s="132" customFormat="1" ht="76.5">
      <c r="A261" s="185" t="s">
        <v>36</v>
      </c>
      <c r="B261" s="196" t="s">
        <v>407</v>
      </c>
      <c r="C261" s="187">
        <v>6000</v>
      </c>
      <c r="D261" s="187"/>
      <c r="E261" s="199">
        <v>6000</v>
      </c>
      <c r="F261" s="187">
        <f t="shared" si="12"/>
        <v>5786.1279999999997</v>
      </c>
      <c r="G261" s="187"/>
      <c r="H261" s="189">
        <v>5786.1279999999997</v>
      </c>
      <c r="I261" s="181"/>
      <c r="J261" s="181"/>
      <c r="K261" s="181"/>
      <c r="L261" s="181"/>
      <c r="M261" s="181"/>
      <c r="N261" s="182"/>
      <c r="O261" s="190">
        <f t="shared" si="10"/>
        <v>96.435466666666656</v>
      </c>
      <c r="P261" s="190"/>
      <c r="Q261" s="190">
        <f t="shared" si="11"/>
        <v>96.435466666666656</v>
      </c>
    </row>
    <row r="262" spans="1:17" s="132" customFormat="1" ht="38.25">
      <c r="A262" s="185" t="s">
        <v>36</v>
      </c>
      <c r="B262" s="196" t="s">
        <v>408</v>
      </c>
      <c r="C262" s="187">
        <v>7000</v>
      </c>
      <c r="D262" s="187"/>
      <c r="E262" s="199">
        <v>7000</v>
      </c>
      <c r="F262" s="187">
        <f t="shared" si="12"/>
        <v>6600</v>
      </c>
      <c r="G262" s="187"/>
      <c r="H262" s="189">
        <v>6600</v>
      </c>
      <c r="I262" s="181"/>
      <c r="J262" s="181"/>
      <c r="K262" s="181"/>
      <c r="L262" s="181"/>
      <c r="M262" s="181"/>
      <c r="N262" s="182"/>
      <c r="O262" s="190">
        <f t="shared" si="10"/>
        <v>94.285714285714278</v>
      </c>
      <c r="P262" s="190"/>
      <c r="Q262" s="190">
        <f t="shared" si="11"/>
        <v>94.285714285714278</v>
      </c>
    </row>
    <row r="263" spans="1:17" s="132" customFormat="1" ht="25.5">
      <c r="A263" s="185" t="s">
        <v>36</v>
      </c>
      <c r="B263" s="196" t="s">
        <v>409</v>
      </c>
      <c r="C263" s="187">
        <v>11500</v>
      </c>
      <c r="D263" s="187"/>
      <c r="E263" s="188">
        <v>11500</v>
      </c>
      <c r="F263" s="187">
        <f t="shared" si="12"/>
        <v>13271.281999999999</v>
      </c>
      <c r="G263" s="187"/>
      <c r="H263" s="188">
        <f>SUM(H264:H268)</f>
        <v>13271.281999999999</v>
      </c>
      <c r="I263" s="181"/>
      <c r="J263" s="181"/>
      <c r="K263" s="181"/>
      <c r="L263" s="181"/>
      <c r="M263" s="181"/>
      <c r="N263" s="182"/>
      <c r="O263" s="190">
        <f t="shared" si="10"/>
        <v>115.40245217391303</v>
      </c>
      <c r="P263" s="190"/>
      <c r="Q263" s="190">
        <f t="shared" si="11"/>
        <v>115.40245217391303</v>
      </c>
    </row>
    <row r="264" spans="1:17" s="132" customFormat="1" ht="12.75">
      <c r="A264" s="185" t="s">
        <v>196</v>
      </c>
      <c r="B264" s="196" t="s">
        <v>410</v>
      </c>
      <c r="C264" s="187">
        <v>0</v>
      </c>
      <c r="D264" s="187"/>
      <c r="E264" s="187"/>
      <c r="F264" s="187">
        <f t="shared" si="12"/>
        <v>6978.1409999999996</v>
      </c>
      <c r="G264" s="187"/>
      <c r="H264" s="189">
        <v>6978.1409999999996</v>
      </c>
      <c r="I264" s="181"/>
      <c r="J264" s="181"/>
      <c r="K264" s="181"/>
      <c r="L264" s="181"/>
      <c r="M264" s="181"/>
      <c r="N264" s="182"/>
      <c r="O264" s="190"/>
      <c r="P264" s="190"/>
      <c r="Q264" s="190"/>
    </row>
    <row r="265" spans="1:17" s="132" customFormat="1" ht="12.75">
      <c r="A265" s="185" t="s">
        <v>196</v>
      </c>
      <c r="B265" s="196" t="s">
        <v>411</v>
      </c>
      <c r="C265" s="187">
        <v>0</v>
      </c>
      <c r="D265" s="187"/>
      <c r="E265" s="187"/>
      <c r="F265" s="187">
        <f t="shared" si="12"/>
        <v>2500</v>
      </c>
      <c r="G265" s="187"/>
      <c r="H265" s="189">
        <v>2500</v>
      </c>
      <c r="I265" s="181"/>
      <c r="J265" s="181"/>
      <c r="K265" s="181"/>
      <c r="L265" s="181"/>
      <c r="M265" s="181"/>
      <c r="N265" s="182"/>
      <c r="O265" s="190"/>
      <c r="P265" s="190"/>
      <c r="Q265" s="190"/>
    </row>
    <row r="266" spans="1:17" s="132" customFormat="1" ht="12.75">
      <c r="A266" s="185" t="s">
        <v>196</v>
      </c>
      <c r="B266" s="196" t="s">
        <v>412</v>
      </c>
      <c r="C266" s="187">
        <v>0</v>
      </c>
      <c r="D266" s="187"/>
      <c r="E266" s="187"/>
      <c r="F266" s="187">
        <f t="shared" ref="F266:F329" si="13">G266+H266+I266+J266+K266+N266</f>
        <v>1715</v>
      </c>
      <c r="G266" s="187"/>
      <c r="H266" s="189">
        <v>1715</v>
      </c>
      <c r="I266" s="181"/>
      <c r="J266" s="181"/>
      <c r="K266" s="181"/>
      <c r="L266" s="181"/>
      <c r="M266" s="181"/>
      <c r="N266" s="182"/>
      <c r="O266" s="190"/>
      <c r="P266" s="190"/>
      <c r="Q266" s="190"/>
    </row>
    <row r="267" spans="1:17" s="132" customFormat="1" ht="12.75">
      <c r="A267" s="185" t="s">
        <v>196</v>
      </c>
      <c r="B267" s="196" t="s">
        <v>413</v>
      </c>
      <c r="C267" s="187">
        <v>0</v>
      </c>
      <c r="D267" s="187"/>
      <c r="E267" s="187"/>
      <c r="F267" s="187">
        <f t="shared" si="13"/>
        <v>1298.1410000000001</v>
      </c>
      <c r="G267" s="187"/>
      <c r="H267" s="189">
        <v>1298.1410000000001</v>
      </c>
      <c r="I267" s="181"/>
      <c r="J267" s="181"/>
      <c r="K267" s="181"/>
      <c r="L267" s="181"/>
      <c r="M267" s="181"/>
      <c r="N267" s="182"/>
      <c r="O267" s="190"/>
      <c r="P267" s="190"/>
      <c r="Q267" s="190"/>
    </row>
    <row r="268" spans="1:17" s="132" customFormat="1" ht="12.75">
      <c r="A268" s="185" t="s">
        <v>196</v>
      </c>
      <c r="B268" s="196" t="s">
        <v>414</v>
      </c>
      <c r="C268" s="187">
        <v>0</v>
      </c>
      <c r="D268" s="187"/>
      <c r="E268" s="187"/>
      <c r="F268" s="187">
        <f t="shared" si="13"/>
        <v>780</v>
      </c>
      <c r="G268" s="187"/>
      <c r="H268" s="189">
        <v>780</v>
      </c>
      <c r="I268" s="181"/>
      <c r="J268" s="181"/>
      <c r="K268" s="181"/>
      <c r="L268" s="181"/>
      <c r="M268" s="181"/>
      <c r="N268" s="182"/>
      <c r="O268" s="190"/>
      <c r="P268" s="190"/>
      <c r="Q268" s="190"/>
    </row>
    <row r="269" spans="1:17" s="132" customFormat="1" ht="25.5">
      <c r="A269" s="185" t="s">
        <v>415</v>
      </c>
      <c r="B269" s="196" t="s">
        <v>416</v>
      </c>
      <c r="C269" s="187">
        <v>500</v>
      </c>
      <c r="D269" s="187">
        <v>0</v>
      </c>
      <c r="E269" s="199">
        <v>500</v>
      </c>
      <c r="F269" s="187">
        <f t="shared" si="13"/>
        <v>347</v>
      </c>
      <c r="G269" s="187"/>
      <c r="H269" s="189">
        <v>347</v>
      </c>
      <c r="I269" s="181"/>
      <c r="J269" s="181"/>
      <c r="K269" s="181"/>
      <c r="L269" s="181"/>
      <c r="M269" s="181"/>
      <c r="N269" s="182"/>
      <c r="O269" s="190">
        <f t="shared" ref="O269:O332" si="14">F269/C269*100</f>
        <v>69.399999999999991</v>
      </c>
      <c r="P269" s="190"/>
      <c r="Q269" s="190">
        <f t="shared" ref="Q269:Q332" si="15">H269/E269*100</f>
        <v>69.399999999999991</v>
      </c>
    </row>
    <row r="270" spans="1:17" s="132" customFormat="1" ht="25.5">
      <c r="A270" s="185" t="s">
        <v>36</v>
      </c>
      <c r="B270" s="196" t="s">
        <v>417</v>
      </c>
      <c r="C270" s="187">
        <v>12000</v>
      </c>
      <c r="D270" s="187"/>
      <c r="E270" s="199">
        <v>12000</v>
      </c>
      <c r="F270" s="187">
        <f t="shared" si="13"/>
        <v>11375.706500000002</v>
      </c>
      <c r="G270" s="187"/>
      <c r="H270" s="199">
        <f>SUM(H271:H279)</f>
        <v>11375.706500000002</v>
      </c>
      <c r="I270" s="181"/>
      <c r="J270" s="181"/>
      <c r="K270" s="181"/>
      <c r="L270" s="181"/>
      <c r="M270" s="181"/>
      <c r="N270" s="182"/>
      <c r="O270" s="190">
        <f t="shared" si="14"/>
        <v>94.797554166666686</v>
      </c>
      <c r="P270" s="190"/>
      <c r="Q270" s="190">
        <f t="shared" si="15"/>
        <v>94.797554166666686</v>
      </c>
    </row>
    <row r="271" spans="1:17" s="132" customFormat="1" ht="38.25">
      <c r="A271" s="185" t="s">
        <v>273</v>
      </c>
      <c r="B271" s="196" t="s">
        <v>418</v>
      </c>
      <c r="C271" s="187">
        <v>0</v>
      </c>
      <c r="D271" s="187"/>
      <c r="E271" s="187"/>
      <c r="F271" s="187">
        <f t="shared" si="13"/>
        <v>2864.2530000000002</v>
      </c>
      <c r="G271" s="187"/>
      <c r="H271" s="189">
        <v>2864.2530000000002</v>
      </c>
      <c r="I271" s="181"/>
      <c r="J271" s="181"/>
      <c r="K271" s="181"/>
      <c r="L271" s="181"/>
      <c r="M271" s="181"/>
      <c r="N271" s="182"/>
      <c r="O271" s="190"/>
      <c r="P271" s="190"/>
      <c r="Q271" s="190"/>
    </row>
    <row r="272" spans="1:17" s="132" customFormat="1" ht="76.5">
      <c r="A272" s="185" t="s">
        <v>273</v>
      </c>
      <c r="B272" s="196" t="s">
        <v>419</v>
      </c>
      <c r="C272" s="187">
        <v>0</v>
      </c>
      <c r="D272" s="187"/>
      <c r="E272" s="187"/>
      <c r="F272" s="187">
        <f t="shared" si="13"/>
        <v>2600.8589999999999</v>
      </c>
      <c r="G272" s="187"/>
      <c r="H272" s="189">
        <v>2600.8589999999999</v>
      </c>
      <c r="I272" s="181"/>
      <c r="J272" s="181"/>
      <c r="K272" s="181"/>
      <c r="L272" s="181"/>
      <c r="M272" s="181"/>
      <c r="N272" s="182"/>
      <c r="O272" s="190"/>
      <c r="P272" s="190"/>
      <c r="Q272" s="190"/>
    </row>
    <row r="273" spans="1:17" s="132" customFormat="1" ht="25.5">
      <c r="A273" s="185" t="s">
        <v>273</v>
      </c>
      <c r="B273" s="196" t="s">
        <v>420</v>
      </c>
      <c r="C273" s="187">
        <v>0</v>
      </c>
      <c r="D273" s="187"/>
      <c r="E273" s="187"/>
      <c r="F273" s="187">
        <f t="shared" si="13"/>
        <v>2500</v>
      </c>
      <c r="G273" s="187"/>
      <c r="H273" s="189">
        <v>2500</v>
      </c>
      <c r="I273" s="181"/>
      <c r="J273" s="181"/>
      <c r="K273" s="181"/>
      <c r="L273" s="181"/>
      <c r="M273" s="181"/>
      <c r="N273" s="182"/>
      <c r="O273" s="190"/>
      <c r="P273" s="190"/>
      <c r="Q273" s="190"/>
    </row>
    <row r="274" spans="1:17" s="132" customFormat="1" ht="25.5">
      <c r="A274" s="185" t="s">
        <v>273</v>
      </c>
      <c r="B274" s="196" t="s">
        <v>421</v>
      </c>
      <c r="C274" s="187">
        <v>0</v>
      </c>
      <c r="D274" s="187"/>
      <c r="E274" s="187"/>
      <c r="F274" s="187">
        <f t="shared" si="13"/>
        <v>907.31849999999997</v>
      </c>
      <c r="G274" s="187"/>
      <c r="H274" s="189">
        <v>907.31849999999997</v>
      </c>
      <c r="I274" s="181"/>
      <c r="J274" s="181"/>
      <c r="K274" s="181"/>
      <c r="L274" s="181"/>
      <c r="M274" s="181"/>
      <c r="N274" s="182"/>
      <c r="O274" s="190"/>
      <c r="P274" s="190"/>
      <c r="Q274" s="190"/>
    </row>
    <row r="275" spans="1:17" s="132" customFormat="1" ht="25.5">
      <c r="A275" s="185" t="s">
        <v>273</v>
      </c>
      <c r="B275" s="196" t="s">
        <v>422</v>
      </c>
      <c r="C275" s="187">
        <v>0</v>
      </c>
      <c r="D275" s="187"/>
      <c r="E275" s="187"/>
      <c r="F275" s="187">
        <f t="shared" si="13"/>
        <v>1028.7</v>
      </c>
      <c r="G275" s="187"/>
      <c r="H275" s="189">
        <v>1028.7</v>
      </c>
      <c r="I275" s="181"/>
      <c r="J275" s="181"/>
      <c r="K275" s="181"/>
      <c r="L275" s="181"/>
      <c r="M275" s="181"/>
      <c r="N275" s="182"/>
      <c r="O275" s="190"/>
      <c r="P275" s="190"/>
      <c r="Q275" s="190"/>
    </row>
    <row r="276" spans="1:17" s="132" customFormat="1" ht="25.5">
      <c r="A276" s="185" t="s">
        <v>273</v>
      </c>
      <c r="B276" s="196" t="s">
        <v>423</v>
      </c>
      <c r="C276" s="187">
        <v>0</v>
      </c>
      <c r="D276" s="187"/>
      <c r="E276" s="187"/>
      <c r="F276" s="187">
        <f t="shared" si="13"/>
        <v>439.89</v>
      </c>
      <c r="G276" s="187"/>
      <c r="H276" s="189">
        <v>439.89</v>
      </c>
      <c r="I276" s="181"/>
      <c r="J276" s="181"/>
      <c r="K276" s="181"/>
      <c r="L276" s="181"/>
      <c r="M276" s="181"/>
      <c r="N276" s="182"/>
      <c r="O276" s="190"/>
      <c r="P276" s="190"/>
      <c r="Q276" s="190"/>
    </row>
    <row r="277" spans="1:17" s="132" customFormat="1" ht="12.75">
      <c r="A277" s="185" t="s">
        <v>273</v>
      </c>
      <c r="B277" s="196" t="s">
        <v>424</v>
      </c>
      <c r="C277" s="187">
        <v>0</v>
      </c>
      <c r="D277" s="187"/>
      <c r="E277" s="187"/>
      <c r="F277" s="187">
        <f t="shared" si="13"/>
        <v>348.673</v>
      </c>
      <c r="G277" s="187"/>
      <c r="H277" s="189">
        <v>348.673</v>
      </c>
      <c r="I277" s="181"/>
      <c r="J277" s="181"/>
      <c r="K277" s="181"/>
      <c r="L277" s="181"/>
      <c r="M277" s="181"/>
      <c r="N277" s="182"/>
      <c r="O277" s="190"/>
      <c r="P277" s="190"/>
      <c r="Q277" s="190"/>
    </row>
    <row r="278" spans="1:17" s="132" customFormat="1" ht="25.5">
      <c r="A278" s="185" t="s">
        <v>273</v>
      </c>
      <c r="B278" s="196" t="s">
        <v>425</v>
      </c>
      <c r="C278" s="187">
        <v>0</v>
      </c>
      <c r="D278" s="187"/>
      <c r="E278" s="187"/>
      <c r="F278" s="187">
        <f t="shared" si="13"/>
        <v>486.01299999999998</v>
      </c>
      <c r="G278" s="187"/>
      <c r="H278" s="189">
        <v>486.01299999999998</v>
      </c>
      <c r="I278" s="181"/>
      <c r="J278" s="181"/>
      <c r="K278" s="181"/>
      <c r="L278" s="181"/>
      <c r="M278" s="181"/>
      <c r="N278" s="182"/>
      <c r="O278" s="190"/>
      <c r="P278" s="190"/>
      <c r="Q278" s="190"/>
    </row>
    <row r="279" spans="1:17" s="132" customFormat="1" ht="25.5">
      <c r="A279" s="185" t="s">
        <v>273</v>
      </c>
      <c r="B279" s="196" t="s">
        <v>426</v>
      </c>
      <c r="C279" s="187">
        <v>0</v>
      </c>
      <c r="D279" s="187"/>
      <c r="E279" s="187"/>
      <c r="F279" s="187">
        <f t="shared" si="13"/>
        <v>200</v>
      </c>
      <c r="G279" s="187"/>
      <c r="H279" s="189">
        <v>200</v>
      </c>
      <c r="I279" s="181"/>
      <c r="J279" s="181"/>
      <c r="K279" s="181"/>
      <c r="L279" s="181"/>
      <c r="M279" s="181"/>
      <c r="N279" s="182"/>
      <c r="O279" s="190"/>
      <c r="P279" s="190"/>
      <c r="Q279" s="190"/>
    </row>
    <row r="280" spans="1:17" s="132" customFormat="1" ht="33.75" customHeight="1">
      <c r="A280" s="131">
        <v>12</v>
      </c>
      <c r="B280" s="183" t="s">
        <v>427</v>
      </c>
      <c r="C280" s="179">
        <v>4500</v>
      </c>
      <c r="D280" s="179"/>
      <c r="E280" s="184">
        <v>4500</v>
      </c>
      <c r="F280" s="179">
        <f t="shared" si="13"/>
        <v>4360.1580000000004</v>
      </c>
      <c r="G280" s="179"/>
      <c r="H280" s="184">
        <f>SUM(H281:H286)</f>
        <v>4360.1580000000004</v>
      </c>
      <c r="I280" s="181"/>
      <c r="J280" s="181"/>
      <c r="K280" s="181"/>
      <c r="L280" s="181"/>
      <c r="M280" s="181"/>
      <c r="N280" s="182"/>
      <c r="O280" s="190">
        <f t="shared" si="14"/>
        <v>96.892400000000009</v>
      </c>
      <c r="P280" s="190"/>
      <c r="Q280" s="190">
        <f t="shared" si="15"/>
        <v>96.892400000000009</v>
      </c>
    </row>
    <row r="281" spans="1:17" s="132" customFormat="1" ht="12.75">
      <c r="A281" s="185" t="s">
        <v>36</v>
      </c>
      <c r="B281" s="196" t="s">
        <v>276</v>
      </c>
      <c r="C281" s="187">
        <v>120</v>
      </c>
      <c r="D281" s="187"/>
      <c r="E281" s="189">
        <v>120</v>
      </c>
      <c r="F281" s="187">
        <f t="shared" si="13"/>
        <v>108</v>
      </c>
      <c r="G281" s="187"/>
      <c r="H281" s="189">
        <v>108</v>
      </c>
      <c r="I281" s="181"/>
      <c r="J281" s="181"/>
      <c r="K281" s="181"/>
      <c r="L281" s="181"/>
      <c r="M281" s="181"/>
      <c r="N281" s="182"/>
      <c r="O281" s="190">
        <f t="shared" si="14"/>
        <v>90</v>
      </c>
      <c r="P281" s="190"/>
      <c r="Q281" s="190">
        <f t="shared" si="15"/>
        <v>90</v>
      </c>
    </row>
    <row r="282" spans="1:17" s="132" customFormat="1" ht="12.75">
      <c r="A282" s="185" t="s">
        <v>36</v>
      </c>
      <c r="B282" s="196" t="s">
        <v>428</v>
      </c>
      <c r="C282" s="187">
        <v>115</v>
      </c>
      <c r="D282" s="187">
        <v>0</v>
      </c>
      <c r="E282" s="189">
        <v>115</v>
      </c>
      <c r="F282" s="187">
        <f t="shared" si="13"/>
        <v>106.985</v>
      </c>
      <c r="G282" s="187"/>
      <c r="H282" s="189">
        <v>106.985</v>
      </c>
      <c r="I282" s="181"/>
      <c r="J282" s="181"/>
      <c r="K282" s="181"/>
      <c r="L282" s="181"/>
      <c r="M282" s="181"/>
      <c r="N282" s="182"/>
      <c r="O282" s="190">
        <f t="shared" si="14"/>
        <v>93.030434782608694</v>
      </c>
      <c r="P282" s="190"/>
      <c r="Q282" s="190">
        <f t="shared" si="15"/>
        <v>93.030434782608694</v>
      </c>
    </row>
    <row r="283" spans="1:17" s="132" customFormat="1" ht="12.75">
      <c r="A283" s="185" t="s">
        <v>36</v>
      </c>
      <c r="B283" s="196" t="s">
        <v>429</v>
      </c>
      <c r="C283" s="187">
        <v>2680</v>
      </c>
      <c r="D283" s="187"/>
      <c r="E283" s="189">
        <v>2680</v>
      </c>
      <c r="F283" s="187">
        <f t="shared" si="13"/>
        <v>2623.8560000000002</v>
      </c>
      <c r="G283" s="187"/>
      <c r="H283" s="189">
        <v>2623.8560000000002</v>
      </c>
      <c r="I283" s="181"/>
      <c r="J283" s="181"/>
      <c r="K283" s="181"/>
      <c r="L283" s="181"/>
      <c r="M283" s="181"/>
      <c r="N283" s="182"/>
      <c r="O283" s="190">
        <f t="shared" si="14"/>
        <v>97.905074626865684</v>
      </c>
      <c r="P283" s="190"/>
      <c r="Q283" s="190">
        <f t="shared" si="15"/>
        <v>97.905074626865684</v>
      </c>
    </row>
    <row r="284" spans="1:17" s="132" customFormat="1" ht="12.75">
      <c r="A284" s="185" t="s">
        <v>36</v>
      </c>
      <c r="B284" s="196" t="s">
        <v>430</v>
      </c>
      <c r="C284" s="187">
        <v>600</v>
      </c>
      <c r="D284" s="187"/>
      <c r="E284" s="189">
        <v>600</v>
      </c>
      <c r="F284" s="187">
        <f t="shared" si="13"/>
        <v>598.31700000000001</v>
      </c>
      <c r="G284" s="187"/>
      <c r="H284" s="189">
        <v>598.31700000000001</v>
      </c>
      <c r="I284" s="181"/>
      <c r="J284" s="181"/>
      <c r="K284" s="181"/>
      <c r="L284" s="181"/>
      <c r="M284" s="181"/>
      <c r="N284" s="182"/>
      <c r="O284" s="190">
        <f t="shared" si="14"/>
        <v>99.719500000000011</v>
      </c>
      <c r="P284" s="190"/>
      <c r="Q284" s="190">
        <f t="shared" si="15"/>
        <v>99.719500000000011</v>
      </c>
    </row>
    <row r="285" spans="1:17" s="132" customFormat="1" ht="12.75">
      <c r="A285" s="185" t="s">
        <v>36</v>
      </c>
      <c r="B285" s="196" t="s">
        <v>195</v>
      </c>
      <c r="C285" s="187">
        <v>930</v>
      </c>
      <c r="D285" s="187"/>
      <c r="E285" s="189">
        <v>930</v>
      </c>
      <c r="F285" s="187">
        <f t="shared" si="13"/>
        <v>868</v>
      </c>
      <c r="G285" s="187"/>
      <c r="H285" s="189">
        <v>868</v>
      </c>
      <c r="I285" s="181"/>
      <c r="J285" s="181"/>
      <c r="K285" s="181"/>
      <c r="L285" s="181"/>
      <c r="M285" s="181"/>
      <c r="N285" s="182"/>
      <c r="O285" s="190">
        <f t="shared" si="14"/>
        <v>93.333333333333329</v>
      </c>
      <c r="P285" s="190"/>
      <c r="Q285" s="190">
        <f t="shared" si="15"/>
        <v>93.333333333333329</v>
      </c>
    </row>
    <row r="286" spans="1:17" s="132" customFormat="1" ht="12.75">
      <c r="A286" s="185" t="s">
        <v>36</v>
      </c>
      <c r="B286" s="196" t="s">
        <v>431</v>
      </c>
      <c r="C286" s="187">
        <v>55</v>
      </c>
      <c r="D286" s="187"/>
      <c r="E286" s="189">
        <v>55</v>
      </c>
      <c r="F286" s="187">
        <f t="shared" si="13"/>
        <v>55</v>
      </c>
      <c r="G286" s="187"/>
      <c r="H286" s="189">
        <v>55</v>
      </c>
      <c r="I286" s="181"/>
      <c r="J286" s="181"/>
      <c r="K286" s="181"/>
      <c r="L286" s="181"/>
      <c r="M286" s="181"/>
      <c r="N286" s="182"/>
      <c r="O286" s="190">
        <f t="shared" si="14"/>
        <v>100</v>
      </c>
      <c r="P286" s="190"/>
      <c r="Q286" s="190">
        <f t="shared" si="15"/>
        <v>100</v>
      </c>
    </row>
    <row r="287" spans="1:17" s="132" customFormat="1" ht="33.75" customHeight="1">
      <c r="A287" s="131">
        <v>13</v>
      </c>
      <c r="B287" s="183" t="s">
        <v>432</v>
      </c>
      <c r="C287" s="179">
        <v>450039</v>
      </c>
      <c r="D287" s="179"/>
      <c r="E287" s="180">
        <v>450039</v>
      </c>
      <c r="F287" s="179">
        <f t="shared" si="13"/>
        <v>442478.924</v>
      </c>
      <c r="G287" s="179"/>
      <c r="H287" s="180">
        <f>H288+H344+H346+H352</f>
        <v>442478.924</v>
      </c>
      <c r="I287" s="181"/>
      <c r="J287" s="181"/>
      <c r="K287" s="181"/>
      <c r="L287" s="181"/>
      <c r="M287" s="181"/>
      <c r="N287" s="182"/>
      <c r="O287" s="190">
        <f t="shared" si="14"/>
        <v>98.32012869995711</v>
      </c>
      <c r="P287" s="190"/>
      <c r="Q287" s="190">
        <f t="shared" si="15"/>
        <v>98.32012869995711</v>
      </c>
    </row>
    <row r="288" spans="1:17" s="132" customFormat="1" ht="12.75">
      <c r="A288" s="197" t="s">
        <v>204</v>
      </c>
      <c r="B288" s="183" t="s">
        <v>433</v>
      </c>
      <c r="C288" s="179">
        <v>297562</v>
      </c>
      <c r="D288" s="179"/>
      <c r="E288" s="184">
        <v>297562</v>
      </c>
      <c r="F288" s="179">
        <f t="shared" si="13"/>
        <v>291697.78899999999</v>
      </c>
      <c r="G288" s="179"/>
      <c r="H288" s="184">
        <f>SUM(H289:H292)+SUM(H312:H315)+SUM(H318:H320)+SUM(H323:H324)+H328+SUM(H331:H332)+H336+SUM(H340:H343)</f>
        <v>291697.78899999999</v>
      </c>
      <c r="I288" s="181"/>
      <c r="J288" s="181"/>
      <c r="K288" s="181"/>
      <c r="L288" s="181"/>
      <c r="M288" s="181"/>
      <c r="N288" s="182"/>
      <c r="O288" s="190">
        <f t="shared" si="14"/>
        <v>98.029247350132067</v>
      </c>
      <c r="P288" s="190"/>
      <c r="Q288" s="190">
        <f t="shared" si="15"/>
        <v>98.029247350132067</v>
      </c>
    </row>
    <row r="289" spans="1:17" s="132" customFormat="1" ht="12.75">
      <c r="A289" s="185" t="s">
        <v>36</v>
      </c>
      <c r="B289" s="186" t="s">
        <v>434</v>
      </c>
      <c r="C289" s="187">
        <v>33062</v>
      </c>
      <c r="D289" s="187"/>
      <c r="E289" s="189">
        <v>33062</v>
      </c>
      <c r="F289" s="187">
        <f t="shared" si="13"/>
        <v>32757.457999999999</v>
      </c>
      <c r="G289" s="187"/>
      <c r="H289" s="189">
        <v>32757.457999999999</v>
      </c>
      <c r="I289" s="181"/>
      <c r="J289" s="181"/>
      <c r="K289" s="181"/>
      <c r="L289" s="181"/>
      <c r="M289" s="181"/>
      <c r="N289" s="182"/>
      <c r="O289" s="190">
        <f t="shared" si="14"/>
        <v>99.078876051055587</v>
      </c>
      <c r="P289" s="190"/>
      <c r="Q289" s="190">
        <f t="shared" si="15"/>
        <v>99.078876051055587</v>
      </c>
    </row>
    <row r="290" spans="1:17" s="132" customFormat="1" ht="25.5">
      <c r="A290" s="185" t="s">
        <v>36</v>
      </c>
      <c r="B290" s="186" t="s">
        <v>435</v>
      </c>
      <c r="C290" s="187">
        <v>19047</v>
      </c>
      <c r="D290" s="187"/>
      <c r="E290" s="189">
        <v>19047</v>
      </c>
      <c r="F290" s="187">
        <f t="shared" si="13"/>
        <v>17351</v>
      </c>
      <c r="G290" s="187"/>
      <c r="H290" s="189">
        <v>17351</v>
      </c>
      <c r="I290" s="181"/>
      <c r="J290" s="181"/>
      <c r="K290" s="181"/>
      <c r="L290" s="181"/>
      <c r="M290" s="181"/>
      <c r="N290" s="182"/>
      <c r="O290" s="190">
        <f t="shared" si="14"/>
        <v>91.09571061059485</v>
      </c>
      <c r="P290" s="190"/>
      <c r="Q290" s="190">
        <f t="shared" si="15"/>
        <v>91.09571061059485</v>
      </c>
    </row>
    <row r="291" spans="1:17" s="132" customFormat="1" ht="12.75">
      <c r="A291" s="185" t="s">
        <v>36</v>
      </c>
      <c r="B291" s="186" t="s">
        <v>436</v>
      </c>
      <c r="C291" s="187">
        <v>4547</v>
      </c>
      <c r="D291" s="187"/>
      <c r="E291" s="189">
        <v>4547</v>
      </c>
      <c r="F291" s="187">
        <f t="shared" si="13"/>
        <v>4316.2510000000002</v>
      </c>
      <c r="G291" s="187"/>
      <c r="H291" s="189">
        <v>4316.2510000000002</v>
      </c>
      <c r="I291" s="181"/>
      <c r="J291" s="181"/>
      <c r="K291" s="181"/>
      <c r="L291" s="181"/>
      <c r="M291" s="181"/>
      <c r="N291" s="182"/>
      <c r="O291" s="190">
        <f t="shared" si="14"/>
        <v>94.925247415878616</v>
      </c>
      <c r="P291" s="190"/>
      <c r="Q291" s="190">
        <f t="shared" si="15"/>
        <v>94.925247415878616</v>
      </c>
    </row>
    <row r="292" spans="1:17" s="132" customFormat="1" ht="12.75">
      <c r="A292" s="185" t="s">
        <v>36</v>
      </c>
      <c r="B292" s="186" t="s">
        <v>437</v>
      </c>
      <c r="C292" s="187">
        <v>58963</v>
      </c>
      <c r="D292" s="187"/>
      <c r="E292" s="189">
        <v>58963</v>
      </c>
      <c r="F292" s="187">
        <f t="shared" si="13"/>
        <v>58191.109999999986</v>
      </c>
      <c r="G292" s="187"/>
      <c r="H292" s="189">
        <f>SUM(H293:H311)</f>
        <v>58191.109999999986</v>
      </c>
      <c r="I292" s="181"/>
      <c r="J292" s="181"/>
      <c r="K292" s="181"/>
      <c r="L292" s="181"/>
      <c r="M292" s="181"/>
      <c r="N292" s="182"/>
      <c r="O292" s="190">
        <f t="shared" si="14"/>
        <v>98.69089089768157</v>
      </c>
      <c r="P292" s="190"/>
      <c r="Q292" s="190">
        <f t="shared" si="15"/>
        <v>98.69089089768157</v>
      </c>
    </row>
    <row r="293" spans="1:17" s="132" customFormat="1" ht="12.75">
      <c r="A293" s="185" t="s">
        <v>273</v>
      </c>
      <c r="B293" s="186" t="s">
        <v>438</v>
      </c>
      <c r="C293" s="187">
        <v>6600</v>
      </c>
      <c r="D293" s="187"/>
      <c r="E293" s="189">
        <v>6600</v>
      </c>
      <c r="F293" s="187">
        <f t="shared" si="13"/>
        <v>6711.2280000000001</v>
      </c>
      <c r="G293" s="187"/>
      <c r="H293" s="189">
        <v>6711.2280000000001</v>
      </c>
      <c r="I293" s="181"/>
      <c r="J293" s="181"/>
      <c r="K293" s="181"/>
      <c r="L293" s="181"/>
      <c r="M293" s="181"/>
      <c r="N293" s="182"/>
      <c r="O293" s="190">
        <f t="shared" si="14"/>
        <v>101.68527272727272</v>
      </c>
      <c r="P293" s="190"/>
      <c r="Q293" s="190">
        <f t="shared" si="15"/>
        <v>101.68527272727272</v>
      </c>
    </row>
    <row r="294" spans="1:17" s="132" customFormat="1" ht="12.75">
      <c r="A294" s="185" t="s">
        <v>273</v>
      </c>
      <c r="B294" s="186" t="s">
        <v>439</v>
      </c>
      <c r="C294" s="187">
        <v>2524</v>
      </c>
      <c r="D294" s="179"/>
      <c r="E294" s="189">
        <v>2524</v>
      </c>
      <c r="F294" s="187">
        <f t="shared" si="13"/>
        <v>2424.9789999999998</v>
      </c>
      <c r="G294" s="179"/>
      <c r="H294" s="189">
        <v>2424.9789999999998</v>
      </c>
      <c r="I294" s="181"/>
      <c r="J294" s="181"/>
      <c r="K294" s="181"/>
      <c r="L294" s="181"/>
      <c r="M294" s="181"/>
      <c r="N294" s="182"/>
      <c r="O294" s="190">
        <f t="shared" si="14"/>
        <v>96.076822503961949</v>
      </c>
      <c r="P294" s="190"/>
      <c r="Q294" s="190">
        <f t="shared" si="15"/>
        <v>96.076822503961949</v>
      </c>
    </row>
    <row r="295" spans="1:17" s="132" customFormat="1" ht="12.75">
      <c r="A295" s="185" t="s">
        <v>273</v>
      </c>
      <c r="B295" s="186" t="s">
        <v>392</v>
      </c>
      <c r="C295" s="187">
        <v>2046</v>
      </c>
      <c r="D295" s="187"/>
      <c r="E295" s="189">
        <v>2046</v>
      </c>
      <c r="F295" s="187">
        <f t="shared" si="13"/>
        <v>2278.9699999999998</v>
      </c>
      <c r="G295" s="187"/>
      <c r="H295" s="189">
        <v>2278.9699999999998</v>
      </c>
      <c r="I295" s="181"/>
      <c r="J295" s="181"/>
      <c r="K295" s="181"/>
      <c r="L295" s="181"/>
      <c r="M295" s="181"/>
      <c r="N295" s="182"/>
      <c r="O295" s="190">
        <f t="shared" si="14"/>
        <v>111.38660801564026</v>
      </c>
      <c r="P295" s="190"/>
      <c r="Q295" s="190">
        <f t="shared" si="15"/>
        <v>111.38660801564026</v>
      </c>
    </row>
    <row r="296" spans="1:17" s="132" customFormat="1" ht="12.75">
      <c r="A296" s="185" t="s">
        <v>273</v>
      </c>
      <c r="B296" s="186" t="s">
        <v>440</v>
      </c>
      <c r="C296" s="187">
        <v>2042</v>
      </c>
      <c r="D296" s="187"/>
      <c r="E296" s="189">
        <v>2042</v>
      </c>
      <c r="F296" s="187">
        <f t="shared" si="13"/>
        <v>2013.6569999999999</v>
      </c>
      <c r="G296" s="187"/>
      <c r="H296" s="189">
        <v>2013.6569999999999</v>
      </c>
      <c r="I296" s="181"/>
      <c r="J296" s="181"/>
      <c r="K296" s="181"/>
      <c r="L296" s="181"/>
      <c r="M296" s="181"/>
      <c r="N296" s="182"/>
      <c r="O296" s="190">
        <f t="shared" si="14"/>
        <v>98.611998041136133</v>
      </c>
      <c r="P296" s="190"/>
      <c r="Q296" s="190">
        <f t="shared" si="15"/>
        <v>98.611998041136133</v>
      </c>
    </row>
    <row r="297" spans="1:17" s="132" customFormat="1" ht="12.75">
      <c r="A297" s="185" t="s">
        <v>273</v>
      </c>
      <c r="B297" s="186" t="s">
        <v>441</v>
      </c>
      <c r="C297" s="187">
        <v>1922</v>
      </c>
      <c r="D297" s="187"/>
      <c r="E297" s="189">
        <v>1922</v>
      </c>
      <c r="F297" s="187">
        <f t="shared" si="13"/>
        <v>1955.625</v>
      </c>
      <c r="G297" s="187"/>
      <c r="H297" s="189">
        <v>1955.625</v>
      </c>
      <c r="I297" s="181"/>
      <c r="J297" s="181"/>
      <c r="K297" s="181"/>
      <c r="L297" s="181"/>
      <c r="M297" s="181"/>
      <c r="N297" s="182"/>
      <c r="O297" s="190">
        <f t="shared" si="14"/>
        <v>101.74947970863684</v>
      </c>
      <c r="P297" s="190"/>
      <c r="Q297" s="190">
        <f t="shared" si="15"/>
        <v>101.74947970863684</v>
      </c>
    </row>
    <row r="298" spans="1:17" s="132" customFormat="1" ht="12.75">
      <c r="A298" s="185" t="s">
        <v>273</v>
      </c>
      <c r="B298" s="186" t="s">
        <v>442</v>
      </c>
      <c r="C298" s="187">
        <v>1601</v>
      </c>
      <c r="D298" s="187"/>
      <c r="E298" s="189">
        <v>1601</v>
      </c>
      <c r="F298" s="187">
        <f t="shared" si="13"/>
        <v>1898.114</v>
      </c>
      <c r="G298" s="187"/>
      <c r="H298" s="189">
        <v>1898.114</v>
      </c>
      <c r="I298" s="181"/>
      <c r="J298" s="181"/>
      <c r="K298" s="181"/>
      <c r="L298" s="181"/>
      <c r="M298" s="181"/>
      <c r="N298" s="182"/>
      <c r="O298" s="190">
        <f t="shared" si="14"/>
        <v>118.55802623360401</v>
      </c>
      <c r="P298" s="190"/>
      <c r="Q298" s="190">
        <f t="shared" si="15"/>
        <v>118.55802623360401</v>
      </c>
    </row>
    <row r="299" spans="1:17" s="132" customFormat="1" ht="12.75">
      <c r="A299" s="185" t="s">
        <v>273</v>
      </c>
      <c r="B299" s="186" t="s">
        <v>443</v>
      </c>
      <c r="C299" s="187">
        <v>2586</v>
      </c>
      <c r="D299" s="187"/>
      <c r="E299" s="189">
        <v>2586</v>
      </c>
      <c r="F299" s="187">
        <f t="shared" si="13"/>
        <v>2548.328</v>
      </c>
      <c r="G299" s="187"/>
      <c r="H299" s="189">
        <v>2548.328</v>
      </c>
      <c r="I299" s="181"/>
      <c r="J299" s="181"/>
      <c r="K299" s="181"/>
      <c r="L299" s="181"/>
      <c r="M299" s="181"/>
      <c r="N299" s="182"/>
      <c r="O299" s="190">
        <f t="shared" si="14"/>
        <v>98.543232791956697</v>
      </c>
      <c r="P299" s="190"/>
      <c r="Q299" s="190">
        <f t="shared" si="15"/>
        <v>98.543232791956697</v>
      </c>
    </row>
    <row r="300" spans="1:17" s="132" customFormat="1" ht="12.75">
      <c r="A300" s="185" t="s">
        <v>273</v>
      </c>
      <c r="B300" s="186" t="s">
        <v>444</v>
      </c>
      <c r="C300" s="187">
        <v>6971</v>
      </c>
      <c r="D300" s="187"/>
      <c r="E300" s="189">
        <v>6971</v>
      </c>
      <c r="F300" s="187">
        <f t="shared" si="13"/>
        <v>6213.0940000000001</v>
      </c>
      <c r="G300" s="187"/>
      <c r="H300" s="189">
        <f>6213.094</f>
        <v>6213.0940000000001</v>
      </c>
      <c r="I300" s="181"/>
      <c r="J300" s="181"/>
      <c r="K300" s="181"/>
      <c r="L300" s="181"/>
      <c r="M300" s="181"/>
      <c r="N300" s="182"/>
      <c r="O300" s="190">
        <f t="shared" si="14"/>
        <v>89.127729163678097</v>
      </c>
      <c r="P300" s="190"/>
      <c r="Q300" s="190">
        <f t="shared" si="15"/>
        <v>89.127729163678097</v>
      </c>
    </row>
    <row r="301" spans="1:17" s="132" customFormat="1" ht="12.75">
      <c r="A301" s="185" t="s">
        <v>273</v>
      </c>
      <c r="B301" s="186" t="s">
        <v>445</v>
      </c>
      <c r="C301" s="187">
        <v>1825</v>
      </c>
      <c r="D301" s="179"/>
      <c r="E301" s="189">
        <v>1825</v>
      </c>
      <c r="F301" s="187">
        <f t="shared" si="13"/>
        <v>1901.556</v>
      </c>
      <c r="G301" s="179"/>
      <c r="H301" s="189">
        <v>1901.556</v>
      </c>
      <c r="I301" s="181"/>
      <c r="J301" s="181"/>
      <c r="K301" s="181"/>
      <c r="L301" s="181"/>
      <c r="M301" s="181"/>
      <c r="N301" s="182"/>
      <c r="O301" s="190">
        <f t="shared" si="14"/>
        <v>104.19484931506851</v>
      </c>
      <c r="P301" s="190"/>
      <c r="Q301" s="190">
        <f t="shared" si="15"/>
        <v>104.19484931506851</v>
      </c>
    </row>
    <row r="302" spans="1:17" s="132" customFormat="1" ht="12.75">
      <c r="A302" s="185" t="s">
        <v>273</v>
      </c>
      <c r="B302" s="186" t="s">
        <v>446</v>
      </c>
      <c r="C302" s="187">
        <v>3148</v>
      </c>
      <c r="D302" s="179"/>
      <c r="E302" s="189">
        <v>3148</v>
      </c>
      <c r="F302" s="187">
        <f t="shared" si="13"/>
        <v>3364.59</v>
      </c>
      <c r="G302" s="179"/>
      <c r="H302" s="189">
        <f>3051.59+313</f>
        <v>3364.59</v>
      </c>
      <c r="I302" s="181"/>
      <c r="J302" s="181"/>
      <c r="K302" s="181"/>
      <c r="L302" s="181"/>
      <c r="M302" s="181"/>
      <c r="N302" s="182"/>
      <c r="O302" s="190">
        <f t="shared" si="14"/>
        <v>106.8802414231258</v>
      </c>
      <c r="P302" s="190"/>
      <c r="Q302" s="190">
        <f t="shared" si="15"/>
        <v>106.8802414231258</v>
      </c>
    </row>
    <row r="303" spans="1:17" s="132" customFormat="1" ht="12.75">
      <c r="A303" s="185" t="s">
        <v>273</v>
      </c>
      <c r="B303" s="186" t="s">
        <v>447</v>
      </c>
      <c r="C303" s="187">
        <v>2055</v>
      </c>
      <c r="D303" s="187"/>
      <c r="E303" s="189">
        <v>2055</v>
      </c>
      <c r="F303" s="187">
        <f t="shared" si="13"/>
        <v>2049.4810000000002</v>
      </c>
      <c r="G303" s="187"/>
      <c r="H303" s="189">
        <v>2049.4810000000002</v>
      </c>
      <c r="I303" s="181"/>
      <c r="J303" s="181"/>
      <c r="K303" s="181"/>
      <c r="L303" s="181"/>
      <c r="M303" s="181"/>
      <c r="N303" s="182"/>
      <c r="O303" s="190">
        <f t="shared" si="14"/>
        <v>99.731435523114371</v>
      </c>
      <c r="P303" s="190"/>
      <c r="Q303" s="190">
        <f t="shared" si="15"/>
        <v>99.731435523114371</v>
      </c>
    </row>
    <row r="304" spans="1:17" s="132" customFormat="1" ht="12.75">
      <c r="A304" s="185" t="s">
        <v>273</v>
      </c>
      <c r="B304" s="186" t="s">
        <v>448</v>
      </c>
      <c r="C304" s="187">
        <v>3876</v>
      </c>
      <c r="D304" s="187"/>
      <c r="E304" s="189">
        <v>3876</v>
      </c>
      <c r="F304" s="187">
        <f t="shared" si="13"/>
        <v>3226.4119999999998</v>
      </c>
      <c r="G304" s="187"/>
      <c r="H304" s="189">
        <f>2859.412+367</f>
        <v>3226.4119999999998</v>
      </c>
      <c r="I304" s="181"/>
      <c r="J304" s="181"/>
      <c r="K304" s="181"/>
      <c r="L304" s="181"/>
      <c r="M304" s="181"/>
      <c r="N304" s="182"/>
      <c r="O304" s="190">
        <f t="shared" si="14"/>
        <v>83.240763673890612</v>
      </c>
      <c r="P304" s="190"/>
      <c r="Q304" s="190">
        <f t="shared" si="15"/>
        <v>83.240763673890612</v>
      </c>
    </row>
    <row r="305" spans="1:17" s="132" customFormat="1" ht="12.75">
      <c r="A305" s="185" t="s">
        <v>273</v>
      </c>
      <c r="B305" s="186" t="s">
        <v>449</v>
      </c>
      <c r="C305" s="187">
        <v>4070</v>
      </c>
      <c r="D305" s="187"/>
      <c r="E305" s="189">
        <v>4070</v>
      </c>
      <c r="F305" s="187">
        <f t="shared" si="13"/>
        <v>4061.0709999999999</v>
      </c>
      <c r="G305" s="187"/>
      <c r="H305" s="189">
        <v>4061.0709999999999</v>
      </c>
      <c r="I305" s="181"/>
      <c r="J305" s="181"/>
      <c r="K305" s="181"/>
      <c r="L305" s="181"/>
      <c r="M305" s="181"/>
      <c r="N305" s="182"/>
      <c r="O305" s="190">
        <f t="shared" si="14"/>
        <v>99.780614250614249</v>
      </c>
      <c r="P305" s="190"/>
      <c r="Q305" s="190">
        <f t="shared" si="15"/>
        <v>99.780614250614249</v>
      </c>
    </row>
    <row r="306" spans="1:17" s="132" customFormat="1" ht="12.75">
      <c r="A306" s="185" t="s">
        <v>273</v>
      </c>
      <c r="B306" s="186" t="s">
        <v>450</v>
      </c>
      <c r="C306" s="187">
        <v>2801</v>
      </c>
      <c r="D306" s="187"/>
      <c r="E306" s="189">
        <v>2801</v>
      </c>
      <c r="F306" s="187">
        <f t="shared" si="13"/>
        <v>2793.5219999999999</v>
      </c>
      <c r="G306" s="187"/>
      <c r="H306" s="189">
        <v>2793.5219999999999</v>
      </c>
      <c r="I306" s="181"/>
      <c r="J306" s="181"/>
      <c r="K306" s="181"/>
      <c r="L306" s="181"/>
      <c r="M306" s="181"/>
      <c r="N306" s="182"/>
      <c r="O306" s="190">
        <f t="shared" si="14"/>
        <v>99.733023920028558</v>
      </c>
      <c r="P306" s="190"/>
      <c r="Q306" s="190">
        <f t="shared" si="15"/>
        <v>99.733023920028558</v>
      </c>
    </row>
    <row r="307" spans="1:17" s="132" customFormat="1" ht="12.75">
      <c r="A307" s="185" t="s">
        <v>273</v>
      </c>
      <c r="B307" s="186" t="s">
        <v>451</v>
      </c>
      <c r="C307" s="187">
        <v>2883</v>
      </c>
      <c r="D307" s="187"/>
      <c r="E307" s="189">
        <v>2883</v>
      </c>
      <c r="F307" s="187">
        <f t="shared" si="13"/>
        <v>2853.1590000000001</v>
      </c>
      <c r="G307" s="187"/>
      <c r="H307" s="189">
        <v>2853.1590000000001</v>
      </c>
      <c r="I307" s="181"/>
      <c r="J307" s="181"/>
      <c r="K307" s="181"/>
      <c r="L307" s="181"/>
      <c r="M307" s="181"/>
      <c r="N307" s="182"/>
      <c r="O307" s="190">
        <f t="shared" si="14"/>
        <v>98.964932362122795</v>
      </c>
      <c r="P307" s="190"/>
      <c r="Q307" s="190">
        <f t="shared" si="15"/>
        <v>98.964932362122795</v>
      </c>
    </row>
    <row r="308" spans="1:17" s="132" customFormat="1" ht="12.75">
      <c r="A308" s="185" t="s">
        <v>273</v>
      </c>
      <c r="B308" s="186" t="s">
        <v>452</v>
      </c>
      <c r="C308" s="187">
        <v>2924</v>
      </c>
      <c r="D308" s="187"/>
      <c r="E308" s="189">
        <v>2924</v>
      </c>
      <c r="F308" s="187">
        <f t="shared" si="13"/>
        <v>2914.6959999999999</v>
      </c>
      <c r="G308" s="187"/>
      <c r="H308" s="189">
        <v>2914.6959999999999</v>
      </c>
      <c r="I308" s="181"/>
      <c r="J308" s="181"/>
      <c r="K308" s="181"/>
      <c r="L308" s="181"/>
      <c r="M308" s="181"/>
      <c r="N308" s="182"/>
      <c r="O308" s="190">
        <f t="shared" si="14"/>
        <v>99.68180574555403</v>
      </c>
      <c r="P308" s="190"/>
      <c r="Q308" s="190">
        <f t="shared" si="15"/>
        <v>99.68180574555403</v>
      </c>
    </row>
    <row r="309" spans="1:17" s="132" customFormat="1" ht="12.75">
      <c r="A309" s="185" t="s">
        <v>273</v>
      </c>
      <c r="B309" s="186" t="s">
        <v>453</v>
      </c>
      <c r="C309" s="187">
        <v>2336</v>
      </c>
      <c r="D309" s="187"/>
      <c r="E309" s="189">
        <v>2336</v>
      </c>
      <c r="F309" s="187">
        <f t="shared" si="13"/>
        <v>2305.971</v>
      </c>
      <c r="G309" s="187"/>
      <c r="H309" s="189">
        <v>2305.971</v>
      </c>
      <c r="I309" s="181"/>
      <c r="J309" s="181"/>
      <c r="K309" s="181"/>
      <c r="L309" s="181"/>
      <c r="M309" s="181"/>
      <c r="N309" s="182"/>
      <c r="O309" s="190">
        <f t="shared" si="14"/>
        <v>98.714511986301375</v>
      </c>
      <c r="P309" s="190"/>
      <c r="Q309" s="190">
        <f t="shared" si="15"/>
        <v>98.714511986301375</v>
      </c>
    </row>
    <row r="310" spans="1:17" s="132" customFormat="1" ht="12.75">
      <c r="A310" s="185" t="s">
        <v>273</v>
      </c>
      <c r="B310" s="186" t="s">
        <v>454</v>
      </c>
      <c r="C310" s="187">
        <v>3853</v>
      </c>
      <c r="D310" s="187"/>
      <c r="E310" s="189">
        <v>3853</v>
      </c>
      <c r="F310" s="187">
        <f t="shared" si="13"/>
        <v>3791.7460000000001</v>
      </c>
      <c r="G310" s="187"/>
      <c r="H310" s="189">
        <v>3791.7460000000001</v>
      </c>
      <c r="I310" s="181"/>
      <c r="J310" s="181"/>
      <c r="K310" s="181"/>
      <c r="L310" s="181"/>
      <c r="M310" s="181"/>
      <c r="N310" s="182"/>
      <c r="O310" s="190">
        <f t="shared" si="14"/>
        <v>98.410225798079423</v>
      </c>
      <c r="P310" s="190"/>
      <c r="Q310" s="190">
        <f t="shared" si="15"/>
        <v>98.410225798079423</v>
      </c>
    </row>
    <row r="311" spans="1:17" s="132" customFormat="1" ht="12.75">
      <c r="A311" s="185" t="s">
        <v>273</v>
      </c>
      <c r="B311" s="186" t="s">
        <v>455</v>
      </c>
      <c r="C311" s="187">
        <v>2900</v>
      </c>
      <c r="D311" s="187"/>
      <c r="E311" s="189">
        <v>2900</v>
      </c>
      <c r="F311" s="187">
        <f t="shared" si="13"/>
        <v>2884.9110000000001</v>
      </c>
      <c r="G311" s="187"/>
      <c r="H311" s="189">
        <v>2884.9110000000001</v>
      </c>
      <c r="I311" s="181"/>
      <c r="J311" s="181"/>
      <c r="K311" s="181"/>
      <c r="L311" s="181"/>
      <c r="M311" s="181"/>
      <c r="N311" s="182"/>
      <c r="O311" s="190">
        <f t="shared" si="14"/>
        <v>99.479689655172422</v>
      </c>
      <c r="P311" s="190"/>
      <c r="Q311" s="190">
        <f t="shared" si="15"/>
        <v>99.479689655172422</v>
      </c>
    </row>
    <row r="312" spans="1:17" s="132" customFormat="1" ht="12.75">
      <c r="A312" s="185" t="s">
        <v>36</v>
      </c>
      <c r="B312" s="186" t="s">
        <v>456</v>
      </c>
      <c r="C312" s="187">
        <v>12236</v>
      </c>
      <c r="D312" s="187"/>
      <c r="E312" s="189">
        <v>12236</v>
      </c>
      <c r="F312" s="187">
        <f t="shared" si="13"/>
        <v>11211.171</v>
      </c>
      <c r="G312" s="187"/>
      <c r="H312" s="189">
        <f>11048.171+163</f>
        <v>11211.171</v>
      </c>
      <c r="I312" s="181"/>
      <c r="J312" s="181"/>
      <c r="K312" s="181"/>
      <c r="L312" s="181"/>
      <c r="M312" s="181"/>
      <c r="N312" s="182"/>
      <c r="O312" s="190">
        <f t="shared" si="14"/>
        <v>91.624476953252696</v>
      </c>
      <c r="P312" s="190"/>
      <c r="Q312" s="190">
        <f t="shared" si="15"/>
        <v>91.624476953252696</v>
      </c>
    </row>
    <row r="313" spans="1:17" s="132" customFormat="1" ht="12.75">
      <c r="A313" s="185" t="s">
        <v>36</v>
      </c>
      <c r="B313" s="186" t="s">
        <v>289</v>
      </c>
      <c r="C313" s="187">
        <v>8847</v>
      </c>
      <c r="D313" s="187"/>
      <c r="E313" s="189">
        <v>8847</v>
      </c>
      <c r="F313" s="187">
        <f t="shared" si="13"/>
        <v>8539.17</v>
      </c>
      <c r="G313" s="187"/>
      <c r="H313" s="189">
        <v>8539.17</v>
      </c>
      <c r="I313" s="181"/>
      <c r="J313" s="181"/>
      <c r="K313" s="181"/>
      <c r="L313" s="181"/>
      <c r="M313" s="181"/>
      <c r="N313" s="182"/>
      <c r="O313" s="190">
        <f t="shared" si="14"/>
        <v>96.520515428958973</v>
      </c>
      <c r="P313" s="190"/>
      <c r="Q313" s="190">
        <f t="shared" si="15"/>
        <v>96.520515428958973</v>
      </c>
    </row>
    <row r="314" spans="1:17" s="132" customFormat="1" ht="12.75">
      <c r="A314" s="185" t="s">
        <v>36</v>
      </c>
      <c r="B314" s="186" t="s">
        <v>276</v>
      </c>
      <c r="C314" s="187">
        <v>7515</v>
      </c>
      <c r="D314" s="187"/>
      <c r="E314" s="189">
        <v>7515</v>
      </c>
      <c r="F314" s="187">
        <f t="shared" si="13"/>
        <v>7284</v>
      </c>
      <c r="G314" s="187"/>
      <c r="H314" s="189">
        <v>7284</v>
      </c>
      <c r="I314" s="181"/>
      <c r="J314" s="181"/>
      <c r="K314" s="181"/>
      <c r="L314" s="181"/>
      <c r="M314" s="181"/>
      <c r="N314" s="182"/>
      <c r="O314" s="190">
        <f t="shared" si="14"/>
        <v>96.926147704590818</v>
      </c>
      <c r="P314" s="190"/>
      <c r="Q314" s="190">
        <f t="shared" si="15"/>
        <v>96.926147704590818</v>
      </c>
    </row>
    <row r="315" spans="1:17" s="132" customFormat="1" ht="12.75">
      <c r="A315" s="185" t="s">
        <v>36</v>
      </c>
      <c r="B315" s="186" t="s">
        <v>457</v>
      </c>
      <c r="C315" s="187">
        <v>5657</v>
      </c>
      <c r="D315" s="187"/>
      <c r="E315" s="189">
        <v>5657</v>
      </c>
      <c r="F315" s="187">
        <f t="shared" si="13"/>
        <v>5523</v>
      </c>
      <c r="G315" s="187"/>
      <c r="H315" s="189">
        <f>SUM(H316:H317)</f>
        <v>5523</v>
      </c>
      <c r="I315" s="181"/>
      <c r="J315" s="181"/>
      <c r="K315" s="181"/>
      <c r="L315" s="181"/>
      <c r="M315" s="181"/>
      <c r="N315" s="182"/>
      <c r="O315" s="190">
        <f t="shared" si="14"/>
        <v>97.631253314477647</v>
      </c>
      <c r="P315" s="190"/>
      <c r="Q315" s="190">
        <f t="shared" si="15"/>
        <v>97.631253314477647</v>
      </c>
    </row>
    <row r="316" spans="1:17" s="132" customFormat="1" ht="12.75">
      <c r="A316" s="185" t="s">
        <v>273</v>
      </c>
      <c r="B316" s="186" t="s">
        <v>347</v>
      </c>
      <c r="C316" s="187">
        <v>4187</v>
      </c>
      <c r="D316" s="187"/>
      <c r="E316" s="189">
        <v>4187</v>
      </c>
      <c r="F316" s="187">
        <f t="shared" si="13"/>
        <v>3967</v>
      </c>
      <c r="G316" s="187"/>
      <c r="H316" s="189">
        <v>3967</v>
      </c>
      <c r="I316" s="181"/>
      <c r="J316" s="181"/>
      <c r="K316" s="181"/>
      <c r="L316" s="181"/>
      <c r="M316" s="181"/>
      <c r="N316" s="182"/>
      <c r="O316" s="190">
        <f t="shared" si="14"/>
        <v>94.745641270599478</v>
      </c>
      <c r="P316" s="190"/>
      <c r="Q316" s="190">
        <f t="shared" si="15"/>
        <v>94.745641270599478</v>
      </c>
    </row>
    <row r="317" spans="1:17" s="132" customFormat="1" ht="12.75">
      <c r="A317" s="185" t="s">
        <v>273</v>
      </c>
      <c r="B317" s="186" t="s">
        <v>349</v>
      </c>
      <c r="C317" s="187">
        <v>1470</v>
      </c>
      <c r="D317" s="187"/>
      <c r="E317" s="189">
        <v>1470</v>
      </c>
      <c r="F317" s="187">
        <f t="shared" si="13"/>
        <v>1556</v>
      </c>
      <c r="G317" s="187"/>
      <c r="H317" s="189">
        <v>1556</v>
      </c>
      <c r="I317" s="181"/>
      <c r="J317" s="181"/>
      <c r="K317" s="181"/>
      <c r="L317" s="181"/>
      <c r="M317" s="181"/>
      <c r="N317" s="182"/>
      <c r="O317" s="190">
        <f t="shared" si="14"/>
        <v>105.85034013605443</v>
      </c>
      <c r="P317" s="190"/>
      <c r="Q317" s="190">
        <f t="shared" si="15"/>
        <v>105.85034013605443</v>
      </c>
    </row>
    <row r="318" spans="1:17" s="132" customFormat="1" ht="12.75">
      <c r="A318" s="185" t="s">
        <v>36</v>
      </c>
      <c r="B318" s="186" t="s">
        <v>458</v>
      </c>
      <c r="C318" s="187">
        <v>13233</v>
      </c>
      <c r="D318" s="187"/>
      <c r="E318" s="189">
        <v>13233</v>
      </c>
      <c r="F318" s="187">
        <f t="shared" si="13"/>
        <v>13332</v>
      </c>
      <c r="G318" s="187"/>
      <c r="H318" s="189">
        <f>12937+395</f>
        <v>13332</v>
      </c>
      <c r="I318" s="181"/>
      <c r="J318" s="181"/>
      <c r="K318" s="181"/>
      <c r="L318" s="181"/>
      <c r="M318" s="181"/>
      <c r="N318" s="182"/>
      <c r="O318" s="190">
        <f t="shared" si="14"/>
        <v>100.74812967581049</v>
      </c>
      <c r="P318" s="190"/>
      <c r="Q318" s="190">
        <f t="shared" si="15"/>
        <v>100.74812967581049</v>
      </c>
    </row>
    <row r="319" spans="1:17" s="132" customFormat="1" ht="12.75">
      <c r="A319" s="185" t="s">
        <v>36</v>
      </c>
      <c r="B319" s="186" t="s">
        <v>459</v>
      </c>
      <c r="C319" s="187">
        <v>7961</v>
      </c>
      <c r="D319" s="187"/>
      <c r="E319" s="189">
        <v>7961</v>
      </c>
      <c r="F319" s="187">
        <f t="shared" si="13"/>
        <v>7871.6959999999999</v>
      </c>
      <c r="G319" s="187"/>
      <c r="H319" s="189">
        <v>7871.6959999999999</v>
      </c>
      <c r="I319" s="181"/>
      <c r="J319" s="181"/>
      <c r="K319" s="181"/>
      <c r="L319" s="181"/>
      <c r="M319" s="181"/>
      <c r="N319" s="182"/>
      <c r="O319" s="190">
        <f t="shared" si="14"/>
        <v>98.878231377967595</v>
      </c>
      <c r="P319" s="190"/>
      <c r="Q319" s="190">
        <f t="shared" si="15"/>
        <v>98.878231377967595</v>
      </c>
    </row>
    <row r="320" spans="1:17" s="132" customFormat="1" ht="12.75">
      <c r="A320" s="185" t="s">
        <v>36</v>
      </c>
      <c r="B320" s="186" t="s">
        <v>285</v>
      </c>
      <c r="C320" s="187">
        <v>13828</v>
      </c>
      <c r="D320" s="187"/>
      <c r="E320" s="189">
        <v>13828</v>
      </c>
      <c r="F320" s="187">
        <f t="shared" si="13"/>
        <v>13749.174999999999</v>
      </c>
      <c r="G320" s="187"/>
      <c r="H320" s="189">
        <f>SUM(H321:H322)</f>
        <v>13749.174999999999</v>
      </c>
      <c r="I320" s="181"/>
      <c r="J320" s="181"/>
      <c r="K320" s="181"/>
      <c r="L320" s="181"/>
      <c r="M320" s="181"/>
      <c r="N320" s="182"/>
      <c r="O320" s="190">
        <f t="shared" si="14"/>
        <v>99.429960948799533</v>
      </c>
      <c r="P320" s="190"/>
      <c r="Q320" s="190">
        <f t="shared" si="15"/>
        <v>99.429960948799533</v>
      </c>
    </row>
    <row r="321" spans="1:17" s="132" customFormat="1" ht="12.75">
      <c r="A321" s="185" t="s">
        <v>273</v>
      </c>
      <c r="B321" s="186" t="s">
        <v>460</v>
      </c>
      <c r="C321" s="187">
        <v>8100</v>
      </c>
      <c r="D321" s="187"/>
      <c r="E321" s="189">
        <v>8100</v>
      </c>
      <c r="F321" s="187">
        <f t="shared" si="13"/>
        <v>8067.6149999999998</v>
      </c>
      <c r="G321" s="187"/>
      <c r="H321" s="189">
        <f>7990.615+77</f>
        <v>8067.6149999999998</v>
      </c>
      <c r="I321" s="181"/>
      <c r="J321" s="181"/>
      <c r="K321" s="181"/>
      <c r="L321" s="181"/>
      <c r="M321" s="181"/>
      <c r="N321" s="182"/>
      <c r="O321" s="190">
        <f t="shared" si="14"/>
        <v>99.600185185185182</v>
      </c>
      <c r="P321" s="190"/>
      <c r="Q321" s="190">
        <f t="shared" si="15"/>
        <v>99.600185185185182</v>
      </c>
    </row>
    <row r="322" spans="1:17" s="132" customFormat="1" ht="12.75">
      <c r="A322" s="185" t="s">
        <v>273</v>
      </c>
      <c r="B322" s="186" t="s">
        <v>461</v>
      </c>
      <c r="C322" s="187">
        <v>5728</v>
      </c>
      <c r="D322" s="187"/>
      <c r="E322" s="189">
        <v>5728</v>
      </c>
      <c r="F322" s="187">
        <f t="shared" si="13"/>
        <v>5681.56</v>
      </c>
      <c r="G322" s="187"/>
      <c r="H322" s="189">
        <v>5681.56</v>
      </c>
      <c r="I322" s="181"/>
      <c r="J322" s="181"/>
      <c r="K322" s="181"/>
      <c r="L322" s="181"/>
      <c r="M322" s="181"/>
      <c r="N322" s="182"/>
      <c r="O322" s="190">
        <f t="shared" si="14"/>
        <v>99.189245810055866</v>
      </c>
      <c r="P322" s="190"/>
      <c r="Q322" s="190">
        <f t="shared" si="15"/>
        <v>99.189245810055866</v>
      </c>
    </row>
    <row r="323" spans="1:17" s="132" customFormat="1" ht="12.75">
      <c r="A323" s="185" t="s">
        <v>36</v>
      </c>
      <c r="B323" s="186" t="s">
        <v>179</v>
      </c>
      <c r="C323" s="187">
        <v>7999</v>
      </c>
      <c r="D323" s="187"/>
      <c r="E323" s="189">
        <v>7999</v>
      </c>
      <c r="F323" s="187">
        <f t="shared" si="13"/>
        <v>8172</v>
      </c>
      <c r="G323" s="187"/>
      <c r="H323" s="189">
        <f>7950+222</f>
        <v>8172</v>
      </c>
      <c r="I323" s="181"/>
      <c r="J323" s="181"/>
      <c r="K323" s="181"/>
      <c r="L323" s="181"/>
      <c r="M323" s="181"/>
      <c r="N323" s="182"/>
      <c r="O323" s="190">
        <f t="shared" si="14"/>
        <v>102.16277034629329</v>
      </c>
      <c r="P323" s="190"/>
      <c r="Q323" s="190">
        <f t="shared" si="15"/>
        <v>102.16277034629329</v>
      </c>
    </row>
    <row r="324" spans="1:17" s="132" customFormat="1" ht="12.75">
      <c r="A324" s="185" t="s">
        <v>36</v>
      </c>
      <c r="B324" s="186" t="s">
        <v>178</v>
      </c>
      <c r="C324" s="187">
        <v>10937</v>
      </c>
      <c r="D324" s="187"/>
      <c r="E324" s="189">
        <v>10937</v>
      </c>
      <c r="F324" s="187">
        <f t="shared" si="13"/>
        <v>18065.001</v>
      </c>
      <c r="G324" s="187"/>
      <c r="H324" s="189">
        <f>SUM(H325:H327)</f>
        <v>18065.001</v>
      </c>
      <c r="I324" s="181"/>
      <c r="J324" s="181"/>
      <c r="K324" s="181"/>
      <c r="L324" s="181"/>
      <c r="M324" s="181"/>
      <c r="N324" s="182"/>
      <c r="O324" s="190">
        <f t="shared" si="14"/>
        <v>165.17327420682088</v>
      </c>
      <c r="P324" s="190"/>
      <c r="Q324" s="190">
        <f t="shared" si="15"/>
        <v>165.17327420682088</v>
      </c>
    </row>
    <row r="325" spans="1:17" s="132" customFormat="1" ht="12.75">
      <c r="A325" s="185" t="s">
        <v>273</v>
      </c>
      <c r="B325" s="186" t="s">
        <v>283</v>
      </c>
      <c r="C325" s="187">
        <v>6563</v>
      </c>
      <c r="D325" s="187"/>
      <c r="E325" s="189">
        <v>6563</v>
      </c>
      <c r="F325" s="187">
        <f t="shared" si="13"/>
        <v>13746.589</v>
      </c>
      <c r="G325" s="187"/>
      <c r="H325" s="189">
        <f>6540.589+7206</f>
        <v>13746.589</v>
      </c>
      <c r="I325" s="181"/>
      <c r="J325" s="181"/>
      <c r="K325" s="181"/>
      <c r="L325" s="181"/>
      <c r="M325" s="181"/>
      <c r="N325" s="182"/>
      <c r="O325" s="190">
        <f t="shared" si="14"/>
        <v>209.45587383818375</v>
      </c>
      <c r="P325" s="190"/>
      <c r="Q325" s="190">
        <f t="shared" si="15"/>
        <v>209.45587383818375</v>
      </c>
    </row>
    <row r="326" spans="1:17" s="132" customFormat="1" ht="12.75">
      <c r="A326" s="185" t="s">
        <v>273</v>
      </c>
      <c r="B326" s="186" t="s">
        <v>462</v>
      </c>
      <c r="C326" s="187">
        <v>2109</v>
      </c>
      <c r="D326" s="187"/>
      <c r="E326" s="189">
        <v>2109</v>
      </c>
      <c r="F326" s="187">
        <f t="shared" si="13"/>
        <v>2081.5189999999998</v>
      </c>
      <c r="G326" s="187"/>
      <c r="H326" s="189">
        <v>2081.5189999999998</v>
      </c>
      <c r="I326" s="181"/>
      <c r="J326" s="181"/>
      <c r="K326" s="181"/>
      <c r="L326" s="181"/>
      <c r="M326" s="181"/>
      <c r="N326" s="182"/>
      <c r="O326" s="190">
        <f t="shared" si="14"/>
        <v>98.696965386439061</v>
      </c>
      <c r="P326" s="190"/>
      <c r="Q326" s="190">
        <f t="shared" si="15"/>
        <v>98.696965386439061</v>
      </c>
    </row>
    <row r="327" spans="1:17" s="132" customFormat="1" ht="12.75">
      <c r="A327" s="185" t="s">
        <v>273</v>
      </c>
      <c r="B327" s="186" t="s">
        <v>463</v>
      </c>
      <c r="C327" s="187">
        <v>2265</v>
      </c>
      <c r="D327" s="187"/>
      <c r="E327" s="189">
        <v>2265</v>
      </c>
      <c r="F327" s="187">
        <f t="shared" si="13"/>
        <v>2236.893</v>
      </c>
      <c r="G327" s="187"/>
      <c r="H327" s="189">
        <v>2236.893</v>
      </c>
      <c r="I327" s="181"/>
      <c r="J327" s="181"/>
      <c r="K327" s="181"/>
      <c r="L327" s="181"/>
      <c r="M327" s="181"/>
      <c r="N327" s="182"/>
      <c r="O327" s="190">
        <f t="shared" si="14"/>
        <v>98.75907284768212</v>
      </c>
      <c r="P327" s="190"/>
      <c r="Q327" s="190">
        <f t="shared" si="15"/>
        <v>98.75907284768212</v>
      </c>
    </row>
    <row r="328" spans="1:17" s="132" customFormat="1" ht="12.75">
      <c r="A328" s="185" t="s">
        <v>36</v>
      </c>
      <c r="B328" s="186" t="s">
        <v>464</v>
      </c>
      <c r="C328" s="187">
        <v>10366</v>
      </c>
      <c r="D328" s="187"/>
      <c r="E328" s="189">
        <v>10366</v>
      </c>
      <c r="F328" s="187">
        <f t="shared" si="13"/>
        <v>10652</v>
      </c>
      <c r="G328" s="187"/>
      <c r="H328" s="189">
        <f>SUM(H329:H330)</f>
        <v>10652</v>
      </c>
      <c r="I328" s="181"/>
      <c r="J328" s="181"/>
      <c r="K328" s="181"/>
      <c r="L328" s="181"/>
      <c r="M328" s="181"/>
      <c r="N328" s="182"/>
      <c r="O328" s="190">
        <f t="shared" si="14"/>
        <v>102.75901987266063</v>
      </c>
      <c r="P328" s="190"/>
      <c r="Q328" s="190">
        <f t="shared" si="15"/>
        <v>102.75901987266063</v>
      </c>
    </row>
    <row r="329" spans="1:17" s="132" customFormat="1" ht="12.75">
      <c r="A329" s="185" t="s">
        <v>273</v>
      </c>
      <c r="B329" s="186" t="s">
        <v>465</v>
      </c>
      <c r="C329" s="187">
        <v>9408</v>
      </c>
      <c r="D329" s="187"/>
      <c r="E329" s="189">
        <v>9408</v>
      </c>
      <c r="F329" s="187">
        <f t="shared" si="13"/>
        <v>9919.82</v>
      </c>
      <c r="G329" s="187"/>
      <c r="H329" s="189">
        <f>9497.82+221+201</f>
        <v>9919.82</v>
      </c>
      <c r="I329" s="181"/>
      <c r="J329" s="181"/>
      <c r="K329" s="181"/>
      <c r="L329" s="181"/>
      <c r="M329" s="181"/>
      <c r="N329" s="182"/>
      <c r="O329" s="190">
        <f t="shared" si="14"/>
        <v>105.44026360544217</v>
      </c>
      <c r="P329" s="190"/>
      <c r="Q329" s="190">
        <f t="shared" si="15"/>
        <v>105.44026360544217</v>
      </c>
    </row>
    <row r="330" spans="1:17" s="132" customFormat="1" ht="12.75">
      <c r="A330" s="185" t="s">
        <v>273</v>
      </c>
      <c r="B330" s="186" t="s">
        <v>466</v>
      </c>
      <c r="C330" s="187">
        <v>958</v>
      </c>
      <c r="D330" s="187"/>
      <c r="E330" s="189">
        <v>958</v>
      </c>
      <c r="F330" s="187">
        <f t="shared" ref="F330:F393" si="16">G330+H330+I330+J330+K330+N330</f>
        <v>732.18</v>
      </c>
      <c r="G330" s="187"/>
      <c r="H330" s="189">
        <v>732.18</v>
      </c>
      <c r="I330" s="181"/>
      <c r="J330" s="181"/>
      <c r="K330" s="181"/>
      <c r="L330" s="181"/>
      <c r="M330" s="181"/>
      <c r="N330" s="182"/>
      <c r="O330" s="190">
        <f t="shared" si="14"/>
        <v>76.427974947807925</v>
      </c>
      <c r="P330" s="190"/>
      <c r="Q330" s="190">
        <f t="shared" si="15"/>
        <v>76.427974947807925</v>
      </c>
    </row>
    <row r="331" spans="1:17" s="132" customFormat="1" ht="12.75">
      <c r="A331" s="185" t="s">
        <v>36</v>
      </c>
      <c r="B331" s="186" t="s">
        <v>431</v>
      </c>
      <c r="C331" s="187">
        <v>18565</v>
      </c>
      <c r="D331" s="187"/>
      <c r="E331" s="189">
        <v>18565</v>
      </c>
      <c r="F331" s="187">
        <f t="shared" si="16"/>
        <v>11457.142</v>
      </c>
      <c r="G331" s="187"/>
      <c r="H331" s="189">
        <f>11141.142+220+96</f>
        <v>11457.142</v>
      </c>
      <c r="I331" s="181"/>
      <c r="J331" s="181"/>
      <c r="K331" s="181"/>
      <c r="L331" s="181"/>
      <c r="M331" s="181"/>
      <c r="N331" s="182"/>
      <c r="O331" s="190">
        <f t="shared" si="14"/>
        <v>61.713665499596019</v>
      </c>
      <c r="P331" s="190"/>
      <c r="Q331" s="190">
        <f t="shared" si="15"/>
        <v>61.713665499596019</v>
      </c>
    </row>
    <row r="332" spans="1:17" s="132" customFormat="1" ht="12.75">
      <c r="A332" s="185" t="s">
        <v>36</v>
      </c>
      <c r="B332" s="186" t="s">
        <v>467</v>
      </c>
      <c r="C332" s="187">
        <v>8991</v>
      </c>
      <c r="D332" s="187"/>
      <c r="E332" s="189">
        <v>8991</v>
      </c>
      <c r="F332" s="187">
        <f t="shared" si="16"/>
        <v>8888.4600000000009</v>
      </c>
      <c r="G332" s="187"/>
      <c r="H332" s="189">
        <f>SUM(H333:H335)</f>
        <v>8888.4600000000009</v>
      </c>
      <c r="I332" s="181"/>
      <c r="J332" s="181"/>
      <c r="K332" s="181"/>
      <c r="L332" s="181"/>
      <c r="M332" s="181"/>
      <c r="N332" s="182"/>
      <c r="O332" s="190">
        <f t="shared" si="14"/>
        <v>98.859526192859533</v>
      </c>
      <c r="P332" s="190"/>
      <c r="Q332" s="190">
        <f t="shared" si="15"/>
        <v>98.859526192859533</v>
      </c>
    </row>
    <row r="333" spans="1:17" s="132" customFormat="1" ht="12.75">
      <c r="A333" s="185" t="s">
        <v>273</v>
      </c>
      <c r="B333" s="186" t="s">
        <v>468</v>
      </c>
      <c r="C333" s="187">
        <v>5417</v>
      </c>
      <c r="D333" s="187"/>
      <c r="E333" s="189">
        <v>5417</v>
      </c>
      <c r="F333" s="187">
        <f t="shared" si="16"/>
        <v>5342.634</v>
      </c>
      <c r="G333" s="187"/>
      <c r="H333" s="189">
        <v>5342.634</v>
      </c>
      <c r="I333" s="181"/>
      <c r="J333" s="181"/>
      <c r="K333" s="181"/>
      <c r="L333" s="181"/>
      <c r="M333" s="181"/>
      <c r="N333" s="182"/>
      <c r="O333" s="190">
        <f t="shared" ref="O333:O396" si="17">F333/C333*100</f>
        <v>98.627173712386934</v>
      </c>
      <c r="P333" s="190"/>
      <c r="Q333" s="190">
        <f t="shared" ref="Q333:Q396" si="18">H333/E333*100</f>
        <v>98.627173712386934</v>
      </c>
    </row>
    <row r="334" spans="1:17" s="132" customFormat="1" ht="12.75">
      <c r="A334" s="185" t="s">
        <v>273</v>
      </c>
      <c r="B334" s="186" t="s">
        <v>292</v>
      </c>
      <c r="C334" s="187">
        <v>1581</v>
      </c>
      <c r="D334" s="187"/>
      <c r="E334" s="189">
        <v>1581</v>
      </c>
      <c r="F334" s="187">
        <f t="shared" si="16"/>
        <v>1466.3050000000001</v>
      </c>
      <c r="G334" s="187"/>
      <c r="H334" s="189">
        <v>1466.3050000000001</v>
      </c>
      <c r="I334" s="181"/>
      <c r="J334" s="181"/>
      <c r="K334" s="181"/>
      <c r="L334" s="181"/>
      <c r="M334" s="181"/>
      <c r="N334" s="182"/>
      <c r="O334" s="190">
        <f t="shared" si="17"/>
        <v>92.745414294750162</v>
      </c>
      <c r="P334" s="190"/>
      <c r="Q334" s="190">
        <f t="shared" si="18"/>
        <v>92.745414294750162</v>
      </c>
    </row>
    <row r="335" spans="1:17" s="132" customFormat="1" ht="12.75">
      <c r="A335" s="185" t="s">
        <v>273</v>
      </c>
      <c r="B335" s="186" t="s">
        <v>469</v>
      </c>
      <c r="C335" s="187">
        <v>1993</v>
      </c>
      <c r="D335" s="187"/>
      <c r="E335" s="189">
        <v>1993</v>
      </c>
      <c r="F335" s="187">
        <f t="shared" si="16"/>
        <v>2079.5210000000002</v>
      </c>
      <c r="G335" s="187"/>
      <c r="H335" s="189">
        <v>2079.5210000000002</v>
      </c>
      <c r="I335" s="181"/>
      <c r="J335" s="181"/>
      <c r="K335" s="181"/>
      <c r="L335" s="181"/>
      <c r="M335" s="181"/>
      <c r="N335" s="182"/>
      <c r="O335" s="190">
        <f t="shared" si="17"/>
        <v>104.34124435524336</v>
      </c>
      <c r="P335" s="190"/>
      <c r="Q335" s="190">
        <f t="shared" si="18"/>
        <v>104.34124435524336</v>
      </c>
    </row>
    <row r="336" spans="1:17" s="132" customFormat="1" ht="12.75">
      <c r="A336" s="185" t="s">
        <v>36</v>
      </c>
      <c r="B336" s="186" t="s">
        <v>274</v>
      </c>
      <c r="C336" s="187">
        <v>18172</v>
      </c>
      <c r="D336" s="187"/>
      <c r="E336" s="189">
        <v>18172</v>
      </c>
      <c r="F336" s="187">
        <f t="shared" si="16"/>
        <v>18342</v>
      </c>
      <c r="G336" s="187"/>
      <c r="H336" s="189">
        <f>SUM(H337:H339)</f>
        <v>18342</v>
      </c>
      <c r="I336" s="181"/>
      <c r="J336" s="181"/>
      <c r="K336" s="181"/>
      <c r="L336" s="181"/>
      <c r="M336" s="181"/>
      <c r="N336" s="182"/>
      <c r="O336" s="190">
        <f t="shared" si="17"/>
        <v>100.9355051727933</v>
      </c>
      <c r="P336" s="190"/>
      <c r="Q336" s="190">
        <f t="shared" si="18"/>
        <v>100.9355051727933</v>
      </c>
    </row>
    <row r="337" spans="1:17" s="132" customFormat="1" ht="12.75">
      <c r="A337" s="185" t="s">
        <v>273</v>
      </c>
      <c r="B337" s="186" t="s">
        <v>470</v>
      </c>
      <c r="C337" s="187">
        <v>7914</v>
      </c>
      <c r="D337" s="187"/>
      <c r="E337" s="189">
        <v>7914</v>
      </c>
      <c r="F337" s="187">
        <f t="shared" si="16"/>
        <v>8443.5280000000002</v>
      </c>
      <c r="G337" s="187"/>
      <c r="H337" s="189">
        <v>8443.5280000000002</v>
      </c>
      <c r="I337" s="181"/>
      <c r="J337" s="181"/>
      <c r="K337" s="181"/>
      <c r="L337" s="181"/>
      <c r="M337" s="181"/>
      <c r="N337" s="182"/>
      <c r="O337" s="190">
        <f t="shared" si="17"/>
        <v>106.69102855698762</v>
      </c>
      <c r="P337" s="190"/>
      <c r="Q337" s="190">
        <f t="shared" si="18"/>
        <v>106.69102855698762</v>
      </c>
    </row>
    <row r="338" spans="1:17" s="132" customFormat="1" ht="12.75">
      <c r="A338" s="185" t="s">
        <v>273</v>
      </c>
      <c r="B338" s="186" t="s">
        <v>471</v>
      </c>
      <c r="C338" s="187">
        <v>9731</v>
      </c>
      <c r="D338" s="187"/>
      <c r="E338" s="189">
        <v>9731</v>
      </c>
      <c r="F338" s="187">
        <f t="shared" si="16"/>
        <v>9561.5</v>
      </c>
      <c r="G338" s="187"/>
      <c r="H338" s="189">
        <v>9561.5</v>
      </c>
      <c r="I338" s="181"/>
      <c r="J338" s="181"/>
      <c r="K338" s="181"/>
      <c r="L338" s="181"/>
      <c r="M338" s="181"/>
      <c r="N338" s="182"/>
      <c r="O338" s="190">
        <f t="shared" si="17"/>
        <v>98.258144075634561</v>
      </c>
      <c r="P338" s="190"/>
      <c r="Q338" s="190">
        <f t="shared" si="18"/>
        <v>98.258144075634561</v>
      </c>
    </row>
    <row r="339" spans="1:17" s="132" customFormat="1" ht="12.75">
      <c r="A339" s="185" t="s">
        <v>273</v>
      </c>
      <c r="B339" s="186" t="s">
        <v>472</v>
      </c>
      <c r="C339" s="187">
        <v>527</v>
      </c>
      <c r="D339" s="187"/>
      <c r="E339" s="189">
        <v>527</v>
      </c>
      <c r="F339" s="187">
        <f t="shared" si="16"/>
        <v>336.97199999999998</v>
      </c>
      <c r="G339" s="187"/>
      <c r="H339" s="189">
        <v>336.97199999999998</v>
      </c>
      <c r="I339" s="181"/>
      <c r="J339" s="181"/>
      <c r="K339" s="181"/>
      <c r="L339" s="181"/>
      <c r="M339" s="181"/>
      <c r="N339" s="182"/>
      <c r="O339" s="190">
        <f t="shared" si="17"/>
        <v>63.941555977229605</v>
      </c>
      <c r="P339" s="190"/>
      <c r="Q339" s="190">
        <f t="shared" si="18"/>
        <v>63.941555977229605</v>
      </c>
    </row>
    <row r="340" spans="1:17" s="132" customFormat="1" ht="12.75">
      <c r="A340" s="185" t="s">
        <v>36</v>
      </c>
      <c r="B340" s="186" t="s">
        <v>279</v>
      </c>
      <c r="C340" s="187">
        <v>7819</v>
      </c>
      <c r="D340" s="187"/>
      <c r="E340" s="189">
        <v>7819</v>
      </c>
      <c r="F340" s="187">
        <f t="shared" si="16"/>
        <v>7727.6989999999996</v>
      </c>
      <c r="G340" s="187"/>
      <c r="H340" s="189">
        <v>7727.6989999999996</v>
      </c>
      <c r="I340" s="181"/>
      <c r="J340" s="181"/>
      <c r="K340" s="181"/>
      <c r="L340" s="181"/>
      <c r="M340" s="181"/>
      <c r="N340" s="182"/>
      <c r="O340" s="190">
        <f t="shared" si="17"/>
        <v>98.832318710832581</v>
      </c>
      <c r="P340" s="190"/>
      <c r="Q340" s="190">
        <f t="shared" si="18"/>
        <v>98.832318710832581</v>
      </c>
    </row>
    <row r="341" spans="1:17" s="132" customFormat="1" ht="12.75">
      <c r="A341" s="185" t="s">
        <v>36</v>
      </c>
      <c r="B341" s="186" t="s">
        <v>177</v>
      </c>
      <c r="C341" s="187">
        <v>8555</v>
      </c>
      <c r="D341" s="187"/>
      <c r="E341" s="189">
        <v>8555</v>
      </c>
      <c r="F341" s="187">
        <f t="shared" si="16"/>
        <v>8524.3209999999999</v>
      </c>
      <c r="G341" s="187"/>
      <c r="H341" s="189">
        <v>8524.3209999999999</v>
      </c>
      <c r="I341" s="181"/>
      <c r="J341" s="181"/>
      <c r="K341" s="181"/>
      <c r="L341" s="181"/>
      <c r="M341" s="181"/>
      <c r="N341" s="182"/>
      <c r="O341" s="190">
        <f t="shared" si="17"/>
        <v>99.641390999415549</v>
      </c>
      <c r="P341" s="190"/>
      <c r="Q341" s="190">
        <f t="shared" si="18"/>
        <v>99.641390999415549</v>
      </c>
    </row>
    <row r="342" spans="1:17" s="132" customFormat="1" ht="12.75">
      <c r="A342" s="185" t="s">
        <v>36</v>
      </c>
      <c r="B342" s="186" t="s">
        <v>473</v>
      </c>
      <c r="C342" s="187">
        <v>17745</v>
      </c>
      <c r="D342" s="187"/>
      <c r="E342" s="189">
        <v>17745</v>
      </c>
      <c r="F342" s="187">
        <f t="shared" si="16"/>
        <v>18235.691999999999</v>
      </c>
      <c r="G342" s="187"/>
      <c r="H342" s="189">
        <f>18143.692+92</f>
        <v>18235.691999999999</v>
      </c>
      <c r="I342" s="181"/>
      <c r="J342" s="181"/>
      <c r="K342" s="181"/>
      <c r="L342" s="181"/>
      <c r="M342" s="181"/>
      <c r="N342" s="182"/>
      <c r="O342" s="190">
        <f t="shared" si="17"/>
        <v>102.76524091293322</v>
      </c>
      <c r="P342" s="190"/>
      <c r="Q342" s="190">
        <f t="shared" si="18"/>
        <v>102.76524091293322</v>
      </c>
    </row>
    <row r="343" spans="1:17" s="132" customFormat="1" ht="12.75">
      <c r="A343" s="185" t="s">
        <v>36</v>
      </c>
      <c r="B343" s="186" t="s">
        <v>474</v>
      </c>
      <c r="C343" s="187">
        <v>3517</v>
      </c>
      <c r="D343" s="187"/>
      <c r="E343" s="189">
        <v>3517</v>
      </c>
      <c r="F343" s="187">
        <f t="shared" si="16"/>
        <v>1507.443</v>
      </c>
      <c r="G343" s="187"/>
      <c r="H343" s="189">
        <v>1507.443</v>
      </c>
      <c r="I343" s="181"/>
      <c r="J343" s="181"/>
      <c r="K343" s="181"/>
      <c r="L343" s="181"/>
      <c r="M343" s="181"/>
      <c r="N343" s="182"/>
      <c r="O343" s="190">
        <f t="shared" si="17"/>
        <v>42.861615012794999</v>
      </c>
      <c r="P343" s="190"/>
      <c r="Q343" s="190">
        <f t="shared" si="18"/>
        <v>42.861615012794999</v>
      </c>
    </row>
    <row r="344" spans="1:17" s="132" customFormat="1" ht="33.75" customHeight="1">
      <c r="A344" s="197" t="s">
        <v>259</v>
      </c>
      <c r="B344" s="183" t="s">
        <v>475</v>
      </c>
      <c r="C344" s="179">
        <v>108348</v>
      </c>
      <c r="D344" s="179"/>
      <c r="E344" s="184">
        <v>108348</v>
      </c>
      <c r="F344" s="179">
        <f t="shared" si="16"/>
        <v>111510.444</v>
      </c>
      <c r="G344" s="179"/>
      <c r="H344" s="184">
        <f>H345</f>
        <v>111510.444</v>
      </c>
      <c r="I344" s="181"/>
      <c r="J344" s="181"/>
      <c r="K344" s="181"/>
      <c r="L344" s="181"/>
      <c r="M344" s="181"/>
      <c r="N344" s="182"/>
      <c r="O344" s="190">
        <f t="shared" si="17"/>
        <v>102.91878391848488</v>
      </c>
      <c r="P344" s="190"/>
      <c r="Q344" s="190">
        <f t="shared" si="18"/>
        <v>102.91878391848488</v>
      </c>
    </row>
    <row r="345" spans="1:17" s="132" customFormat="1" ht="12.75">
      <c r="A345" s="185" t="s">
        <v>36</v>
      </c>
      <c r="B345" s="186" t="s">
        <v>284</v>
      </c>
      <c r="C345" s="187">
        <v>108348</v>
      </c>
      <c r="D345" s="187"/>
      <c r="E345" s="189">
        <v>108348</v>
      </c>
      <c r="F345" s="187">
        <f t="shared" si="16"/>
        <v>111510.444</v>
      </c>
      <c r="G345" s="187"/>
      <c r="H345" s="189">
        <f>107970.444+2000+1234+306</f>
        <v>111510.444</v>
      </c>
      <c r="I345" s="181"/>
      <c r="J345" s="181"/>
      <c r="K345" s="181"/>
      <c r="L345" s="181"/>
      <c r="M345" s="181"/>
      <c r="N345" s="182"/>
      <c r="O345" s="190">
        <f t="shared" si="17"/>
        <v>102.91878391848488</v>
      </c>
      <c r="P345" s="190"/>
      <c r="Q345" s="190">
        <f t="shared" si="18"/>
        <v>102.91878391848488</v>
      </c>
    </row>
    <row r="346" spans="1:17" s="132" customFormat="1" ht="33.75" customHeight="1">
      <c r="A346" s="197" t="s">
        <v>312</v>
      </c>
      <c r="B346" s="183" t="s">
        <v>476</v>
      </c>
      <c r="C346" s="179">
        <v>28497</v>
      </c>
      <c r="D346" s="179"/>
      <c r="E346" s="184">
        <v>28497</v>
      </c>
      <c r="F346" s="179">
        <f t="shared" si="16"/>
        <v>24445.690999999999</v>
      </c>
      <c r="G346" s="179"/>
      <c r="H346" s="184">
        <f>SUM(H347:H351)</f>
        <v>24445.690999999999</v>
      </c>
      <c r="I346" s="181"/>
      <c r="J346" s="181"/>
      <c r="K346" s="181"/>
      <c r="L346" s="181"/>
      <c r="M346" s="181"/>
      <c r="N346" s="182"/>
      <c r="O346" s="190">
        <f t="shared" si="17"/>
        <v>85.783384215882378</v>
      </c>
      <c r="P346" s="190"/>
      <c r="Q346" s="190">
        <f t="shared" si="18"/>
        <v>85.783384215882378</v>
      </c>
    </row>
    <row r="347" spans="1:17" s="132" customFormat="1" ht="12.75">
      <c r="A347" s="185" t="s">
        <v>36</v>
      </c>
      <c r="B347" s="186" t="s">
        <v>477</v>
      </c>
      <c r="C347" s="187">
        <v>11375</v>
      </c>
      <c r="D347" s="187"/>
      <c r="E347" s="189">
        <v>11375</v>
      </c>
      <c r="F347" s="187">
        <f t="shared" si="16"/>
        <v>7397.6909999999998</v>
      </c>
      <c r="G347" s="187"/>
      <c r="H347" s="189">
        <v>7397.6909999999998</v>
      </c>
      <c r="I347" s="181"/>
      <c r="J347" s="181"/>
      <c r="K347" s="181"/>
      <c r="L347" s="181"/>
      <c r="M347" s="181"/>
      <c r="N347" s="182"/>
      <c r="O347" s="190">
        <f t="shared" si="17"/>
        <v>65.034646153846154</v>
      </c>
      <c r="P347" s="190"/>
      <c r="Q347" s="190">
        <f t="shared" si="18"/>
        <v>65.034646153846154</v>
      </c>
    </row>
    <row r="348" spans="1:17" s="132" customFormat="1" ht="12.75">
      <c r="A348" s="185" t="s">
        <v>36</v>
      </c>
      <c r="B348" s="186" t="s">
        <v>478</v>
      </c>
      <c r="C348" s="187">
        <v>3839</v>
      </c>
      <c r="D348" s="187"/>
      <c r="E348" s="189">
        <v>3839</v>
      </c>
      <c r="F348" s="187">
        <f t="shared" si="16"/>
        <v>4133</v>
      </c>
      <c r="G348" s="187"/>
      <c r="H348" s="189">
        <f>3867+266</f>
        <v>4133</v>
      </c>
      <c r="I348" s="181"/>
      <c r="J348" s="181"/>
      <c r="K348" s="181"/>
      <c r="L348" s="181"/>
      <c r="M348" s="181"/>
      <c r="N348" s="182"/>
      <c r="O348" s="190">
        <f t="shared" si="17"/>
        <v>107.6582443344621</v>
      </c>
      <c r="P348" s="190"/>
      <c r="Q348" s="190">
        <f t="shared" si="18"/>
        <v>107.6582443344621</v>
      </c>
    </row>
    <row r="349" spans="1:17" s="132" customFormat="1" ht="12.75">
      <c r="A349" s="185" t="s">
        <v>36</v>
      </c>
      <c r="B349" s="186" t="s">
        <v>479</v>
      </c>
      <c r="C349" s="187">
        <v>4994</v>
      </c>
      <c r="D349" s="187"/>
      <c r="E349" s="189">
        <v>4994</v>
      </c>
      <c r="F349" s="187">
        <f t="shared" si="16"/>
        <v>4893</v>
      </c>
      <c r="G349" s="187"/>
      <c r="H349" s="189">
        <v>4893</v>
      </c>
      <c r="I349" s="181"/>
      <c r="J349" s="181"/>
      <c r="K349" s="181"/>
      <c r="L349" s="181"/>
      <c r="M349" s="181"/>
      <c r="N349" s="182"/>
      <c r="O349" s="190">
        <f t="shared" si="17"/>
        <v>97.977573087705252</v>
      </c>
      <c r="P349" s="190"/>
      <c r="Q349" s="190">
        <f t="shared" si="18"/>
        <v>97.977573087705252</v>
      </c>
    </row>
    <row r="350" spans="1:17" s="132" customFormat="1" ht="12.75">
      <c r="A350" s="185" t="s">
        <v>36</v>
      </c>
      <c r="B350" s="186" t="s">
        <v>480</v>
      </c>
      <c r="C350" s="187">
        <v>5958</v>
      </c>
      <c r="D350" s="187"/>
      <c r="E350" s="189">
        <v>5958</v>
      </c>
      <c r="F350" s="187">
        <f t="shared" si="16"/>
        <v>5735</v>
      </c>
      <c r="G350" s="187"/>
      <c r="H350" s="189">
        <v>5735</v>
      </c>
      <c r="I350" s="181"/>
      <c r="J350" s="181"/>
      <c r="K350" s="181"/>
      <c r="L350" s="181"/>
      <c r="M350" s="181"/>
      <c r="N350" s="182"/>
      <c r="O350" s="190">
        <f t="shared" si="17"/>
        <v>96.257133266196718</v>
      </c>
      <c r="P350" s="190"/>
      <c r="Q350" s="190">
        <f t="shared" si="18"/>
        <v>96.257133266196718</v>
      </c>
    </row>
    <row r="351" spans="1:17" s="132" customFormat="1" ht="12.75">
      <c r="A351" s="185" t="s">
        <v>36</v>
      </c>
      <c r="B351" s="186" t="s">
        <v>481</v>
      </c>
      <c r="C351" s="187">
        <v>2331</v>
      </c>
      <c r="D351" s="187"/>
      <c r="E351" s="189">
        <v>2331</v>
      </c>
      <c r="F351" s="187">
        <f t="shared" si="16"/>
        <v>2287</v>
      </c>
      <c r="G351" s="187"/>
      <c r="H351" s="189">
        <v>2287</v>
      </c>
      <c r="I351" s="181"/>
      <c r="J351" s="181"/>
      <c r="K351" s="181"/>
      <c r="L351" s="181"/>
      <c r="M351" s="181"/>
      <c r="N351" s="182"/>
      <c r="O351" s="190">
        <f t="shared" si="17"/>
        <v>98.112398112398111</v>
      </c>
      <c r="P351" s="190"/>
      <c r="Q351" s="190">
        <f t="shared" si="18"/>
        <v>98.112398112398111</v>
      </c>
    </row>
    <row r="352" spans="1:17" s="132" customFormat="1" ht="33.75" customHeight="1">
      <c r="A352" s="197" t="s">
        <v>320</v>
      </c>
      <c r="B352" s="183" t="s">
        <v>482</v>
      </c>
      <c r="C352" s="179">
        <v>15632</v>
      </c>
      <c r="D352" s="179"/>
      <c r="E352" s="180">
        <v>15632</v>
      </c>
      <c r="F352" s="179">
        <f t="shared" si="16"/>
        <v>14825</v>
      </c>
      <c r="G352" s="179"/>
      <c r="H352" s="184">
        <f>SUM(H353:H369)</f>
        <v>14825</v>
      </c>
      <c r="I352" s="181"/>
      <c r="J352" s="181"/>
      <c r="K352" s="181"/>
      <c r="L352" s="181"/>
      <c r="M352" s="181"/>
      <c r="N352" s="182"/>
      <c r="O352" s="190">
        <f t="shared" si="17"/>
        <v>94.837512794268164</v>
      </c>
      <c r="P352" s="190"/>
      <c r="Q352" s="190">
        <f t="shared" si="18"/>
        <v>94.837512794268164</v>
      </c>
    </row>
    <row r="353" spans="1:17" s="132" customFormat="1" ht="12.75">
      <c r="A353" s="185" t="s">
        <v>36</v>
      </c>
      <c r="B353" s="186" t="s">
        <v>483</v>
      </c>
      <c r="C353" s="187">
        <v>3640</v>
      </c>
      <c r="D353" s="187"/>
      <c r="E353" s="189">
        <v>3640</v>
      </c>
      <c r="F353" s="187">
        <f t="shared" si="16"/>
        <v>2881</v>
      </c>
      <c r="G353" s="187"/>
      <c r="H353" s="189">
        <f>2776+105</f>
        <v>2881</v>
      </c>
      <c r="I353" s="181"/>
      <c r="J353" s="181"/>
      <c r="K353" s="181"/>
      <c r="L353" s="181"/>
      <c r="M353" s="181"/>
      <c r="N353" s="182"/>
      <c r="O353" s="190">
        <f t="shared" si="17"/>
        <v>79.14835164835165</v>
      </c>
      <c r="P353" s="190"/>
      <c r="Q353" s="190">
        <f t="shared" si="18"/>
        <v>79.14835164835165</v>
      </c>
    </row>
    <row r="354" spans="1:17" s="132" customFormat="1" ht="12.75">
      <c r="A354" s="185" t="s">
        <v>36</v>
      </c>
      <c r="B354" s="186" t="s">
        <v>484</v>
      </c>
      <c r="C354" s="187">
        <v>1152</v>
      </c>
      <c r="D354" s="187"/>
      <c r="E354" s="189">
        <v>1152</v>
      </c>
      <c r="F354" s="187">
        <f t="shared" si="16"/>
        <v>1262</v>
      </c>
      <c r="G354" s="187"/>
      <c r="H354" s="189">
        <v>1262</v>
      </c>
      <c r="I354" s="181"/>
      <c r="J354" s="181"/>
      <c r="K354" s="181"/>
      <c r="L354" s="181"/>
      <c r="M354" s="181"/>
      <c r="N354" s="182"/>
      <c r="O354" s="190">
        <f t="shared" si="17"/>
        <v>109.54861111111111</v>
      </c>
      <c r="P354" s="190"/>
      <c r="Q354" s="190">
        <f t="shared" si="18"/>
        <v>109.54861111111111</v>
      </c>
    </row>
    <row r="355" spans="1:17" s="132" customFormat="1" ht="12.75">
      <c r="A355" s="185" t="s">
        <v>36</v>
      </c>
      <c r="B355" s="186" t="s">
        <v>485</v>
      </c>
      <c r="C355" s="187">
        <v>904</v>
      </c>
      <c r="D355" s="187"/>
      <c r="E355" s="189">
        <v>904</v>
      </c>
      <c r="F355" s="187">
        <f t="shared" si="16"/>
        <v>883</v>
      </c>
      <c r="G355" s="187"/>
      <c r="H355" s="189">
        <v>883</v>
      </c>
      <c r="I355" s="181"/>
      <c r="J355" s="181"/>
      <c r="K355" s="181"/>
      <c r="L355" s="181"/>
      <c r="M355" s="181"/>
      <c r="N355" s="182"/>
      <c r="O355" s="190">
        <f t="shared" si="17"/>
        <v>97.67699115044249</v>
      </c>
      <c r="P355" s="190"/>
      <c r="Q355" s="190">
        <f t="shared" si="18"/>
        <v>97.67699115044249</v>
      </c>
    </row>
    <row r="356" spans="1:17" s="132" customFormat="1" ht="12.75">
      <c r="A356" s="185" t="s">
        <v>36</v>
      </c>
      <c r="B356" s="186" t="s">
        <v>277</v>
      </c>
      <c r="C356" s="187">
        <v>2414</v>
      </c>
      <c r="D356" s="187"/>
      <c r="E356" s="189">
        <v>2414</v>
      </c>
      <c r="F356" s="187">
        <f t="shared" si="16"/>
        <v>2387</v>
      </c>
      <c r="G356" s="187"/>
      <c r="H356" s="189">
        <f>2371+16</f>
        <v>2387</v>
      </c>
      <c r="I356" s="181"/>
      <c r="J356" s="181"/>
      <c r="K356" s="181"/>
      <c r="L356" s="181"/>
      <c r="M356" s="181"/>
      <c r="N356" s="182"/>
      <c r="O356" s="190">
        <f t="shared" si="17"/>
        <v>98.88152444076222</v>
      </c>
      <c r="P356" s="190"/>
      <c r="Q356" s="190">
        <f t="shared" si="18"/>
        <v>98.88152444076222</v>
      </c>
    </row>
    <row r="357" spans="1:17" s="132" customFormat="1" ht="12.75">
      <c r="A357" s="185" t="s">
        <v>36</v>
      </c>
      <c r="B357" s="186" t="s">
        <v>486</v>
      </c>
      <c r="C357" s="187">
        <v>994</v>
      </c>
      <c r="D357" s="187"/>
      <c r="E357" s="189">
        <v>994</v>
      </c>
      <c r="F357" s="187">
        <f t="shared" si="16"/>
        <v>972</v>
      </c>
      <c r="G357" s="187"/>
      <c r="H357" s="189">
        <v>972</v>
      </c>
      <c r="I357" s="181"/>
      <c r="J357" s="181"/>
      <c r="K357" s="181"/>
      <c r="L357" s="181"/>
      <c r="M357" s="181"/>
      <c r="N357" s="182"/>
      <c r="O357" s="190">
        <f t="shared" si="17"/>
        <v>97.786720321931583</v>
      </c>
      <c r="P357" s="190"/>
      <c r="Q357" s="190">
        <f t="shared" si="18"/>
        <v>97.786720321931583</v>
      </c>
    </row>
    <row r="358" spans="1:17" s="132" customFormat="1" ht="12.75">
      <c r="A358" s="185" t="s">
        <v>36</v>
      </c>
      <c r="B358" s="186" t="s">
        <v>487</v>
      </c>
      <c r="C358" s="187">
        <v>631</v>
      </c>
      <c r="D358" s="187"/>
      <c r="E358" s="189">
        <v>631</v>
      </c>
      <c r="F358" s="187">
        <f t="shared" si="16"/>
        <v>623</v>
      </c>
      <c r="G358" s="187"/>
      <c r="H358" s="189">
        <v>623</v>
      </c>
      <c r="I358" s="181"/>
      <c r="J358" s="181"/>
      <c r="K358" s="181"/>
      <c r="L358" s="181"/>
      <c r="M358" s="181"/>
      <c r="N358" s="182"/>
      <c r="O358" s="190">
        <f t="shared" si="17"/>
        <v>98.732171156893827</v>
      </c>
      <c r="P358" s="190"/>
      <c r="Q358" s="190">
        <f t="shared" si="18"/>
        <v>98.732171156893827</v>
      </c>
    </row>
    <row r="359" spans="1:17" s="132" customFormat="1" ht="12.75">
      <c r="A359" s="185" t="s">
        <v>36</v>
      </c>
      <c r="B359" s="186" t="s">
        <v>488</v>
      </c>
      <c r="C359" s="187">
        <v>536</v>
      </c>
      <c r="D359" s="187"/>
      <c r="E359" s="189">
        <v>536</v>
      </c>
      <c r="F359" s="187">
        <f t="shared" si="16"/>
        <v>530</v>
      </c>
      <c r="G359" s="187"/>
      <c r="H359" s="189">
        <v>530</v>
      </c>
      <c r="I359" s="181"/>
      <c r="J359" s="181"/>
      <c r="K359" s="181"/>
      <c r="L359" s="181"/>
      <c r="M359" s="181"/>
      <c r="N359" s="182"/>
      <c r="O359" s="190">
        <f t="shared" si="17"/>
        <v>98.880597014925371</v>
      </c>
      <c r="P359" s="190"/>
      <c r="Q359" s="190">
        <f t="shared" si="18"/>
        <v>98.880597014925371</v>
      </c>
    </row>
    <row r="360" spans="1:17" s="132" customFormat="1" ht="12.75">
      <c r="A360" s="185" t="s">
        <v>36</v>
      </c>
      <c r="B360" s="186" t="s">
        <v>489</v>
      </c>
      <c r="C360" s="187">
        <v>818</v>
      </c>
      <c r="D360" s="187"/>
      <c r="E360" s="189">
        <v>818</v>
      </c>
      <c r="F360" s="187">
        <f t="shared" si="16"/>
        <v>764</v>
      </c>
      <c r="G360" s="187"/>
      <c r="H360" s="189">
        <v>764</v>
      </c>
      <c r="I360" s="181"/>
      <c r="J360" s="181"/>
      <c r="K360" s="181"/>
      <c r="L360" s="181"/>
      <c r="M360" s="181"/>
      <c r="N360" s="182"/>
      <c r="O360" s="190">
        <f t="shared" si="17"/>
        <v>93.398533007334962</v>
      </c>
      <c r="P360" s="190"/>
      <c r="Q360" s="190">
        <f t="shared" si="18"/>
        <v>93.398533007334962</v>
      </c>
    </row>
    <row r="361" spans="1:17" s="132" customFormat="1" ht="12.75">
      <c r="A361" s="185" t="s">
        <v>36</v>
      </c>
      <c r="B361" s="186" t="s">
        <v>490</v>
      </c>
      <c r="C361" s="187">
        <v>829</v>
      </c>
      <c r="D361" s="187"/>
      <c r="E361" s="189">
        <v>829</v>
      </c>
      <c r="F361" s="187">
        <f t="shared" si="16"/>
        <v>823</v>
      </c>
      <c r="G361" s="179"/>
      <c r="H361" s="189">
        <v>823</v>
      </c>
      <c r="I361" s="181"/>
      <c r="J361" s="181"/>
      <c r="K361" s="181"/>
      <c r="L361" s="181"/>
      <c r="M361" s="181"/>
      <c r="N361" s="182"/>
      <c r="O361" s="190">
        <f t="shared" si="17"/>
        <v>99.276236429433055</v>
      </c>
      <c r="P361" s="190"/>
      <c r="Q361" s="190">
        <f t="shared" si="18"/>
        <v>99.276236429433055</v>
      </c>
    </row>
    <row r="362" spans="1:17" s="132" customFormat="1" ht="12.75">
      <c r="A362" s="185" t="s">
        <v>36</v>
      </c>
      <c r="B362" s="186" t="s">
        <v>491</v>
      </c>
      <c r="C362" s="187">
        <v>799</v>
      </c>
      <c r="D362" s="187"/>
      <c r="E362" s="189">
        <v>799</v>
      </c>
      <c r="F362" s="187">
        <f t="shared" si="16"/>
        <v>781</v>
      </c>
      <c r="G362" s="187"/>
      <c r="H362" s="189">
        <v>781</v>
      </c>
      <c r="I362" s="181"/>
      <c r="J362" s="181"/>
      <c r="K362" s="181"/>
      <c r="L362" s="181"/>
      <c r="M362" s="181"/>
      <c r="N362" s="182"/>
      <c r="O362" s="190">
        <f t="shared" si="17"/>
        <v>97.747183979974977</v>
      </c>
      <c r="P362" s="190"/>
      <c r="Q362" s="190">
        <f t="shared" si="18"/>
        <v>97.747183979974977</v>
      </c>
    </row>
    <row r="363" spans="1:17" s="132" customFormat="1" ht="12.75">
      <c r="A363" s="185" t="s">
        <v>36</v>
      </c>
      <c r="B363" s="186" t="s">
        <v>492</v>
      </c>
      <c r="C363" s="187">
        <v>784</v>
      </c>
      <c r="D363" s="187"/>
      <c r="E363" s="189">
        <v>784</v>
      </c>
      <c r="F363" s="187">
        <f t="shared" si="16"/>
        <v>767</v>
      </c>
      <c r="G363" s="179"/>
      <c r="H363" s="189">
        <v>767</v>
      </c>
      <c r="I363" s="181"/>
      <c r="J363" s="181"/>
      <c r="K363" s="181"/>
      <c r="L363" s="181"/>
      <c r="M363" s="181"/>
      <c r="N363" s="182"/>
      <c r="O363" s="190">
        <f t="shared" si="17"/>
        <v>97.831632653061234</v>
      </c>
      <c r="P363" s="190"/>
      <c r="Q363" s="190">
        <f t="shared" si="18"/>
        <v>97.831632653061234</v>
      </c>
    </row>
    <row r="364" spans="1:17" s="132" customFormat="1" ht="12.75">
      <c r="A364" s="185" t="s">
        <v>36</v>
      </c>
      <c r="B364" s="186" t="s">
        <v>493</v>
      </c>
      <c r="C364" s="187">
        <v>409</v>
      </c>
      <c r="D364" s="187"/>
      <c r="E364" s="189">
        <v>409</v>
      </c>
      <c r="F364" s="187">
        <f t="shared" si="16"/>
        <v>398</v>
      </c>
      <c r="G364" s="187"/>
      <c r="H364" s="189">
        <v>398</v>
      </c>
      <c r="I364" s="181"/>
      <c r="J364" s="181"/>
      <c r="K364" s="181"/>
      <c r="L364" s="181"/>
      <c r="M364" s="181"/>
      <c r="N364" s="182"/>
      <c r="O364" s="190">
        <f t="shared" si="17"/>
        <v>97.310513447432768</v>
      </c>
      <c r="P364" s="190"/>
      <c r="Q364" s="190">
        <f t="shared" si="18"/>
        <v>97.310513447432768</v>
      </c>
    </row>
    <row r="365" spans="1:17" s="132" customFormat="1" ht="12.75">
      <c r="A365" s="185" t="s">
        <v>36</v>
      </c>
      <c r="B365" s="186" t="s">
        <v>494</v>
      </c>
      <c r="C365" s="187">
        <v>510</v>
      </c>
      <c r="D365" s="187"/>
      <c r="E365" s="189">
        <v>510</v>
      </c>
      <c r="F365" s="187">
        <f t="shared" si="16"/>
        <v>531</v>
      </c>
      <c r="G365" s="187"/>
      <c r="H365" s="189">
        <v>531</v>
      </c>
      <c r="I365" s="181"/>
      <c r="J365" s="181"/>
      <c r="K365" s="181"/>
      <c r="L365" s="181"/>
      <c r="M365" s="181"/>
      <c r="N365" s="182"/>
      <c r="O365" s="190">
        <f t="shared" si="17"/>
        <v>104.11764705882354</v>
      </c>
      <c r="P365" s="190"/>
      <c r="Q365" s="190">
        <f t="shared" si="18"/>
        <v>104.11764705882354</v>
      </c>
    </row>
    <row r="366" spans="1:17" s="132" customFormat="1" ht="12.75">
      <c r="A366" s="185" t="s">
        <v>36</v>
      </c>
      <c r="B366" s="186" t="s">
        <v>495</v>
      </c>
      <c r="C366" s="187">
        <v>543</v>
      </c>
      <c r="D366" s="187"/>
      <c r="E366" s="189">
        <v>543</v>
      </c>
      <c r="F366" s="187">
        <f t="shared" si="16"/>
        <v>567</v>
      </c>
      <c r="G366" s="187"/>
      <c r="H366" s="189">
        <v>567</v>
      </c>
      <c r="I366" s="181"/>
      <c r="J366" s="181"/>
      <c r="K366" s="181"/>
      <c r="L366" s="181"/>
      <c r="M366" s="181"/>
      <c r="N366" s="182"/>
      <c r="O366" s="190">
        <f t="shared" si="17"/>
        <v>104.41988950276244</v>
      </c>
      <c r="P366" s="190"/>
      <c r="Q366" s="190">
        <f t="shared" si="18"/>
        <v>104.41988950276244</v>
      </c>
    </row>
    <row r="367" spans="1:17" s="132" customFormat="1" ht="12.75">
      <c r="A367" s="185" t="s">
        <v>36</v>
      </c>
      <c r="B367" s="186" t="s">
        <v>496</v>
      </c>
      <c r="C367" s="187">
        <v>468</v>
      </c>
      <c r="D367" s="187"/>
      <c r="E367" s="189">
        <v>468</v>
      </c>
      <c r="F367" s="187">
        <f t="shared" si="16"/>
        <v>457</v>
      </c>
      <c r="G367" s="187"/>
      <c r="H367" s="189">
        <v>457</v>
      </c>
      <c r="I367" s="181"/>
      <c r="J367" s="181"/>
      <c r="K367" s="181"/>
      <c r="L367" s="181"/>
      <c r="M367" s="181"/>
      <c r="N367" s="182"/>
      <c r="O367" s="190">
        <f t="shared" si="17"/>
        <v>97.649572649572647</v>
      </c>
      <c r="P367" s="190"/>
      <c r="Q367" s="190">
        <f t="shared" si="18"/>
        <v>97.649572649572647</v>
      </c>
    </row>
    <row r="368" spans="1:17" s="132" customFormat="1" ht="12.75">
      <c r="A368" s="185" t="s">
        <v>36</v>
      </c>
      <c r="B368" s="186" t="s">
        <v>497</v>
      </c>
      <c r="C368" s="187">
        <v>201</v>
      </c>
      <c r="D368" s="187"/>
      <c r="E368" s="189">
        <v>201</v>
      </c>
      <c r="F368" s="187">
        <f t="shared" si="16"/>
        <v>199</v>
      </c>
      <c r="G368" s="187"/>
      <c r="H368" s="189">
        <v>199</v>
      </c>
      <c r="I368" s="181"/>
      <c r="J368" s="181"/>
      <c r="K368" s="181"/>
      <c r="L368" s="181"/>
      <c r="M368" s="181"/>
      <c r="N368" s="182"/>
      <c r="O368" s="190">
        <f t="shared" si="17"/>
        <v>99.00497512437812</v>
      </c>
      <c r="P368" s="190"/>
      <c r="Q368" s="190">
        <f t="shared" si="18"/>
        <v>99.00497512437812</v>
      </c>
    </row>
    <row r="369" spans="1:17" s="132" customFormat="1" ht="12.75">
      <c r="A369" s="185" t="s">
        <v>36</v>
      </c>
      <c r="B369" s="186" t="s">
        <v>498</v>
      </c>
      <c r="C369" s="187">
        <v>0</v>
      </c>
      <c r="D369" s="187"/>
      <c r="E369" s="189"/>
      <c r="F369" s="187">
        <f t="shared" si="16"/>
        <v>0</v>
      </c>
      <c r="G369" s="187"/>
      <c r="H369" s="189"/>
      <c r="I369" s="181"/>
      <c r="J369" s="181"/>
      <c r="K369" s="181"/>
      <c r="L369" s="181"/>
      <c r="M369" s="181"/>
      <c r="N369" s="182"/>
      <c r="O369" s="190"/>
      <c r="P369" s="190"/>
      <c r="Q369" s="190"/>
    </row>
    <row r="370" spans="1:17" s="132" customFormat="1" ht="33.75" customHeight="1">
      <c r="A370" s="131">
        <v>14</v>
      </c>
      <c r="B370" s="183" t="s">
        <v>499</v>
      </c>
      <c r="C370" s="179">
        <v>45125</v>
      </c>
      <c r="D370" s="179"/>
      <c r="E370" s="184">
        <v>45125</v>
      </c>
      <c r="F370" s="179">
        <f t="shared" si="16"/>
        <v>54212.771999999997</v>
      </c>
      <c r="G370" s="179"/>
      <c r="H370" s="198">
        <f>H371+H378+SUM(H389:H402)+H416</f>
        <v>54212.771999999997</v>
      </c>
      <c r="I370" s="181"/>
      <c r="J370" s="181"/>
      <c r="K370" s="181"/>
      <c r="L370" s="181"/>
      <c r="M370" s="181"/>
      <c r="N370" s="182"/>
      <c r="O370" s="190">
        <f t="shared" si="17"/>
        <v>120.13910692520776</v>
      </c>
      <c r="P370" s="190"/>
      <c r="Q370" s="190">
        <f t="shared" si="18"/>
        <v>120.13910692520776</v>
      </c>
    </row>
    <row r="371" spans="1:17" s="132" customFormat="1" ht="12.75">
      <c r="A371" s="185" t="s">
        <v>36</v>
      </c>
      <c r="B371" s="186" t="s">
        <v>500</v>
      </c>
      <c r="C371" s="187">
        <v>6000</v>
      </c>
      <c r="D371" s="187"/>
      <c r="E371" s="188">
        <v>6000</v>
      </c>
      <c r="F371" s="187">
        <f t="shared" si="16"/>
        <v>5823.1409999999996</v>
      </c>
      <c r="G371" s="187"/>
      <c r="H371" s="189">
        <f>SUM(H372:H373)+H377</f>
        <v>5823.1409999999996</v>
      </c>
      <c r="I371" s="181"/>
      <c r="J371" s="181"/>
      <c r="K371" s="181"/>
      <c r="L371" s="181"/>
      <c r="M371" s="181"/>
      <c r="N371" s="182"/>
      <c r="O371" s="190">
        <f t="shared" si="17"/>
        <v>97.052350000000004</v>
      </c>
      <c r="P371" s="190"/>
      <c r="Q371" s="190">
        <f t="shared" si="18"/>
        <v>97.052350000000004</v>
      </c>
    </row>
    <row r="372" spans="1:17" s="132" customFormat="1" ht="25.5">
      <c r="A372" s="185" t="s">
        <v>273</v>
      </c>
      <c r="B372" s="186" t="s">
        <v>501</v>
      </c>
      <c r="C372" s="187">
        <v>135</v>
      </c>
      <c r="D372" s="187"/>
      <c r="E372" s="189">
        <v>135</v>
      </c>
      <c r="F372" s="187">
        <f t="shared" si="16"/>
        <v>135</v>
      </c>
      <c r="G372" s="187"/>
      <c r="H372" s="188">
        <v>135</v>
      </c>
      <c r="I372" s="181"/>
      <c r="J372" s="181"/>
      <c r="K372" s="181"/>
      <c r="L372" s="181"/>
      <c r="M372" s="181"/>
      <c r="N372" s="182"/>
      <c r="O372" s="190">
        <f t="shared" si="17"/>
        <v>100</v>
      </c>
      <c r="P372" s="190"/>
      <c r="Q372" s="190">
        <f t="shared" si="18"/>
        <v>100</v>
      </c>
    </row>
    <row r="373" spans="1:17" s="132" customFormat="1" ht="38.25">
      <c r="A373" s="185" t="s">
        <v>273</v>
      </c>
      <c r="B373" s="186" t="s">
        <v>502</v>
      </c>
      <c r="C373" s="187">
        <v>5598</v>
      </c>
      <c r="D373" s="187"/>
      <c r="E373" s="189">
        <v>5598</v>
      </c>
      <c r="F373" s="187">
        <f t="shared" si="16"/>
        <v>5422.1409999999996</v>
      </c>
      <c r="G373" s="187"/>
      <c r="H373" s="188">
        <f>SUM(H374:H376)</f>
        <v>5422.1409999999996</v>
      </c>
      <c r="I373" s="181"/>
      <c r="J373" s="181"/>
      <c r="K373" s="181"/>
      <c r="L373" s="181"/>
      <c r="M373" s="181"/>
      <c r="N373" s="182"/>
      <c r="O373" s="190">
        <f t="shared" si="17"/>
        <v>96.858538763844223</v>
      </c>
      <c r="P373" s="190"/>
      <c r="Q373" s="190">
        <f t="shared" si="18"/>
        <v>96.858538763844223</v>
      </c>
    </row>
    <row r="374" spans="1:17" s="132" customFormat="1" ht="12.75">
      <c r="A374" s="203"/>
      <c r="B374" s="204" t="s">
        <v>503</v>
      </c>
      <c r="C374" s="187">
        <v>0</v>
      </c>
      <c r="D374" s="187"/>
      <c r="E374" s="205"/>
      <c r="F374" s="187">
        <f t="shared" si="16"/>
        <v>4094.4409999999998</v>
      </c>
      <c r="G374" s="187"/>
      <c r="H374" s="206">
        <v>4094.4409999999998</v>
      </c>
      <c r="I374" s="181"/>
      <c r="J374" s="181"/>
      <c r="K374" s="181"/>
      <c r="L374" s="181"/>
      <c r="M374" s="181"/>
      <c r="N374" s="182"/>
      <c r="O374" s="190"/>
      <c r="P374" s="190"/>
      <c r="Q374" s="190"/>
    </row>
    <row r="375" spans="1:17" s="132" customFormat="1" ht="12.75">
      <c r="A375" s="203"/>
      <c r="B375" s="204" t="s">
        <v>504</v>
      </c>
      <c r="C375" s="187">
        <v>0</v>
      </c>
      <c r="D375" s="187"/>
      <c r="E375" s="205"/>
      <c r="F375" s="187">
        <f t="shared" si="16"/>
        <v>894</v>
      </c>
      <c r="G375" s="187"/>
      <c r="H375" s="206">
        <v>894</v>
      </c>
      <c r="I375" s="181"/>
      <c r="J375" s="181"/>
      <c r="K375" s="181"/>
      <c r="L375" s="181"/>
      <c r="M375" s="181"/>
      <c r="N375" s="182"/>
      <c r="O375" s="190"/>
      <c r="P375" s="190"/>
      <c r="Q375" s="190"/>
    </row>
    <row r="376" spans="1:17" s="132" customFormat="1" ht="25.5">
      <c r="A376" s="203"/>
      <c r="B376" s="204" t="s">
        <v>505</v>
      </c>
      <c r="C376" s="187">
        <v>0</v>
      </c>
      <c r="D376" s="187"/>
      <c r="E376" s="205"/>
      <c r="F376" s="187">
        <f t="shared" si="16"/>
        <v>433.7</v>
      </c>
      <c r="G376" s="187"/>
      <c r="H376" s="206">
        <f>417+16.7</f>
        <v>433.7</v>
      </c>
      <c r="I376" s="181"/>
      <c r="J376" s="181"/>
      <c r="K376" s="181"/>
      <c r="L376" s="181"/>
      <c r="M376" s="181"/>
      <c r="N376" s="182"/>
      <c r="O376" s="190"/>
      <c r="P376" s="190"/>
      <c r="Q376" s="190"/>
    </row>
    <row r="377" spans="1:17" s="132" customFormat="1" ht="25.5">
      <c r="A377" s="185" t="s">
        <v>273</v>
      </c>
      <c r="B377" s="186" t="s">
        <v>506</v>
      </c>
      <c r="C377" s="187">
        <v>266</v>
      </c>
      <c r="D377" s="187"/>
      <c r="E377" s="189">
        <v>266</v>
      </c>
      <c r="F377" s="187">
        <f t="shared" si="16"/>
        <v>266</v>
      </c>
      <c r="G377" s="187"/>
      <c r="H377" s="188">
        <v>266</v>
      </c>
      <c r="I377" s="181"/>
      <c r="J377" s="181"/>
      <c r="K377" s="181"/>
      <c r="L377" s="181"/>
      <c r="M377" s="181"/>
      <c r="N377" s="182"/>
      <c r="O377" s="190">
        <f t="shared" si="17"/>
        <v>100</v>
      </c>
      <c r="P377" s="190"/>
      <c r="Q377" s="190">
        <f t="shared" si="18"/>
        <v>100</v>
      </c>
    </row>
    <row r="378" spans="1:17" s="132" customFormat="1" ht="25.5">
      <c r="A378" s="185" t="s">
        <v>36</v>
      </c>
      <c r="B378" s="186" t="s">
        <v>507</v>
      </c>
      <c r="C378" s="187">
        <v>4000</v>
      </c>
      <c r="D378" s="187"/>
      <c r="E378" s="189">
        <v>4000</v>
      </c>
      <c r="F378" s="187">
        <f t="shared" si="16"/>
        <v>3336.0660000000003</v>
      </c>
      <c r="G378" s="187"/>
      <c r="H378" s="189">
        <f>SUM(H379:H388)</f>
        <v>3336.0660000000003</v>
      </c>
      <c r="I378" s="181"/>
      <c r="J378" s="181"/>
      <c r="K378" s="181"/>
      <c r="L378" s="181"/>
      <c r="M378" s="181"/>
      <c r="N378" s="182"/>
      <c r="O378" s="190">
        <f t="shared" si="17"/>
        <v>83.401650000000004</v>
      </c>
      <c r="P378" s="190"/>
      <c r="Q378" s="190">
        <f t="shared" si="18"/>
        <v>83.401650000000004</v>
      </c>
    </row>
    <row r="379" spans="1:17" s="132" customFormat="1" ht="12.75">
      <c r="A379" s="185" t="s">
        <v>273</v>
      </c>
      <c r="B379" s="186" t="s">
        <v>274</v>
      </c>
      <c r="C379" s="187">
        <v>0</v>
      </c>
      <c r="D379" s="187"/>
      <c r="E379" s="189"/>
      <c r="F379" s="187">
        <f t="shared" si="16"/>
        <v>56.154000000000003</v>
      </c>
      <c r="G379" s="187"/>
      <c r="H379" s="189">
        <v>56.154000000000003</v>
      </c>
      <c r="I379" s="181"/>
      <c r="J379" s="181"/>
      <c r="K379" s="181"/>
      <c r="L379" s="181"/>
      <c r="M379" s="181"/>
      <c r="N379" s="182"/>
      <c r="O379" s="190"/>
      <c r="P379" s="190"/>
      <c r="Q379" s="190"/>
    </row>
    <row r="380" spans="1:17" s="132" customFormat="1" ht="12.75">
      <c r="A380" s="185" t="s">
        <v>273</v>
      </c>
      <c r="B380" s="186" t="s">
        <v>279</v>
      </c>
      <c r="C380" s="187">
        <v>0</v>
      </c>
      <c r="D380" s="187"/>
      <c r="E380" s="189"/>
      <c r="F380" s="187">
        <f t="shared" si="16"/>
        <v>1332.4</v>
      </c>
      <c r="G380" s="187"/>
      <c r="H380" s="189">
        <v>1332.4</v>
      </c>
      <c r="I380" s="181"/>
      <c r="J380" s="181"/>
      <c r="K380" s="181"/>
      <c r="L380" s="181"/>
      <c r="M380" s="181"/>
      <c r="N380" s="182"/>
      <c r="O380" s="190"/>
      <c r="P380" s="190"/>
      <c r="Q380" s="190"/>
    </row>
    <row r="381" spans="1:17" s="132" customFormat="1" ht="12.75">
      <c r="A381" s="185" t="s">
        <v>273</v>
      </c>
      <c r="B381" s="186" t="s">
        <v>461</v>
      </c>
      <c r="C381" s="187">
        <v>0</v>
      </c>
      <c r="D381" s="187"/>
      <c r="E381" s="189"/>
      <c r="F381" s="187">
        <f t="shared" si="16"/>
        <v>651</v>
      </c>
      <c r="G381" s="187"/>
      <c r="H381" s="189">
        <v>651</v>
      </c>
      <c r="I381" s="181"/>
      <c r="J381" s="181"/>
      <c r="K381" s="181"/>
      <c r="L381" s="181"/>
      <c r="M381" s="181"/>
      <c r="N381" s="182"/>
      <c r="O381" s="190"/>
      <c r="P381" s="190"/>
      <c r="Q381" s="190"/>
    </row>
    <row r="382" spans="1:17" s="132" customFormat="1" ht="25.5">
      <c r="A382" s="185" t="s">
        <v>273</v>
      </c>
      <c r="B382" s="186" t="s">
        <v>508</v>
      </c>
      <c r="C382" s="187">
        <v>0</v>
      </c>
      <c r="D382" s="187"/>
      <c r="E382" s="189"/>
      <c r="F382" s="187">
        <f t="shared" si="16"/>
        <v>245</v>
      </c>
      <c r="G382" s="187"/>
      <c r="H382" s="189">
        <v>245</v>
      </c>
      <c r="I382" s="181"/>
      <c r="J382" s="181"/>
      <c r="K382" s="181"/>
      <c r="L382" s="181"/>
      <c r="M382" s="181"/>
      <c r="N382" s="182"/>
      <c r="O382" s="190"/>
      <c r="P382" s="190"/>
      <c r="Q382" s="190"/>
    </row>
    <row r="383" spans="1:17" s="132" customFormat="1" ht="12.75">
      <c r="A383" s="185" t="s">
        <v>273</v>
      </c>
      <c r="B383" s="186" t="s">
        <v>285</v>
      </c>
      <c r="C383" s="187">
        <v>0</v>
      </c>
      <c r="D383" s="187"/>
      <c r="E383" s="189"/>
      <c r="F383" s="187">
        <f t="shared" si="16"/>
        <v>905</v>
      </c>
      <c r="G383" s="187"/>
      <c r="H383" s="189">
        <v>905</v>
      </c>
      <c r="I383" s="181"/>
      <c r="J383" s="181"/>
      <c r="K383" s="181"/>
      <c r="L383" s="181"/>
      <c r="M383" s="181"/>
      <c r="N383" s="182"/>
      <c r="O383" s="190"/>
      <c r="P383" s="190"/>
      <c r="Q383" s="190"/>
    </row>
    <row r="384" spans="1:17" s="132" customFormat="1" ht="12.75">
      <c r="A384" s="185" t="s">
        <v>273</v>
      </c>
      <c r="B384" s="186" t="s">
        <v>509</v>
      </c>
      <c r="C384" s="187">
        <v>0</v>
      </c>
      <c r="D384" s="187"/>
      <c r="E384" s="189"/>
      <c r="F384" s="187">
        <f t="shared" si="16"/>
        <v>4.5</v>
      </c>
      <c r="G384" s="187"/>
      <c r="H384" s="189">
        <v>4.5</v>
      </c>
      <c r="I384" s="181"/>
      <c r="J384" s="181"/>
      <c r="K384" s="181"/>
      <c r="L384" s="181"/>
      <c r="M384" s="181"/>
      <c r="N384" s="182"/>
      <c r="O384" s="190"/>
      <c r="P384" s="190"/>
      <c r="Q384" s="190"/>
    </row>
    <row r="385" spans="1:17" s="132" customFormat="1" ht="12.75">
      <c r="A385" s="185" t="s">
        <v>273</v>
      </c>
      <c r="B385" s="186" t="s">
        <v>288</v>
      </c>
      <c r="C385" s="187">
        <v>0</v>
      </c>
      <c r="D385" s="187"/>
      <c r="E385" s="189"/>
      <c r="F385" s="187">
        <f t="shared" si="16"/>
        <v>72.151999999999987</v>
      </c>
      <c r="G385" s="187"/>
      <c r="H385" s="189">
        <f>262.152-190</f>
        <v>72.151999999999987</v>
      </c>
      <c r="I385" s="181"/>
      <c r="J385" s="181"/>
      <c r="K385" s="181"/>
      <c r="L385" s="181"/>
      <c r="M385" s="181"/>
      <c r="N385" s="182"/>
      <c r="O385" s="190"/>
      <c r="P385" s="190"/>
      <c r="Q385" s="190"/>
    </row>
    <row r="386" spans="1:17" s="132" customFormat="1" ht="12.75">
      <c r="A386" s="185" t="s">
        <v>273</v>
      </c>
      <c r="B386" s="186" t="s">
        <v>510</v>
      </c>
      <c r="C386" s="187">
        <v>0</v>
      </c>
      <c r="D386" s="187"/>
      <c r="E386" s="189"/>
      <c r="F386" s="187">
        <f t="shared" si="16"/>
        <v>4.4000000000000004</v>
      </c>
      <c r="G386" s="187"/>
      <c r="H386" s="189">
        <v>4.4000000000000004</v>
      </c>
      <c r="I386" s="181"/>
      <c r="J386" s="181"/>
      <c r="K386" s="181"/>
      <c r="L386" s="181"/>
      <c r="M386" s="181"/>
      <c r="N386" s="182"/>
      <c r="O386" s="190"/>
      <c r="P386" s="190"/>
      <c r="Q386" s="190"/>
    </row>
    <row r="387" spans="1:17" s="132" customFormat="1" ht="12.75">
      <c r="A387" s="185" t="s">
        <v>273</v>
      </c>
      <c r="B387" s="186" t="s">
        <v>456</v>
      </c>
      <c r="C387" s="179">
        <v>0</v>
      </c>
      <c r="D387" s="179"/>
      <c r="E387" s="189"/>
      <c r="F387" s="179">
        <f t="shared" si="16"/>
        <v>8.76</v>
      </c>
      <c r="G387" s="179"/>
      <c r="H387" s="189">
        <v>8.76</v>
      </c>
      <c r="I387" s="181"/>
      <c r="J387" s="181"/>
      <c r="K387" s="181"/>
      <c r="L387" s="181"/>
      <c r="M387" s="181"/>
      <c r="N387" s="182"/>
      <c r="O387" s="190"/>
      <c r="P387" s="190"/>
      <c r="Q387" s="190"/>
    </row>
    <row r="388" spans="1:17" s="132" customFormat="1" ht="12.75">
      <c r="A388" s="185" t="s">
        <v>273</v>
      </c>
      <c r="B388" s="186" t="s">
        <v>177</v>
      </c>
      <c r="C388" s="187">
        <v>0</v>
      </c>
      <c r="D388" s="187"/>
      <c r="E388" s="189"/>
      <c r="F388" s="187">
        <f t="shared" si="16"/>
        <v>56.7</v>
      </c>
      <c r="G388" s="187"/>
      <c r="H388" s="189">
        <v>56.7</v>
      </c>
      <c r="I388" s="181"/>
      <c r="J388" s="181"/>
      <c r="K388" s="181"/>
      <c r="L388" s="181"/>
      <c r="M388" s="181"/>
      <c r="N388" s="182"/>
      <c r="O388" s="190"/>
      <c r="P388" s="190"/>
      <c r="Q388" s="190"/>
    </row>
    <row r="389" spans="1:17" s="132" customFormat="1" ht="12.75">
      <c r="A389" s="185" t="s">
        <v>36</v>
      </c>
      <c r="B389" s="186" t="s">
        <v>511</v>
      </c>
      <c r="C389" s="187">
        <v>605</v>
      </c>
      <c r="D389" s="187"/>
      <c r="E389" s="189">
        <v>605</v>
      </c>
      <c r="F389" s="187">
        <f t="shared" si="16"/>
        <v>0</v>
      </c>
      <c r="G389" s="187"/>
      <c r="H389" s="189"/>
      <c r="I389" s="181"/>
      <c r="J389" s="181"/>
      <c r="K389" s="181"/>
      <c r="L389" s="181"/>
      <c r="M389" s="181"/>
      <c r="N389" s="182"/>
      <c r="O389" s="190">
        <f t="shared" si="17"/>
        <v>0</v>
      </c>
      <c r="P389" s="190"/>
      <c r="Q389" s="190">
        <f t="shared" si="18"/>
        <v>0</v>
      </c>
    </row>
    <row r="390" spans="1:17" s="132" customFormat="1" ht="12.75">
      <c r="A390" s="185" t="s">
        <v>36</v>
      </c>
      <c r="B390" s="186" t="s">
        <v>512</v>
      </c>
      <c r="C390" s="187">
        <v>270</v>
      </c>
      <c r="D390" s="187"/>
      <c r="E390" s="189">
        <v>270</v>
      </c>
      <c r="F390" s="187">
        <f t="shared" si="16"/>
        <v>91.13</v>
      </c>
      <c r="G390" s="187"/>
      <c r="H390" s="189">
        <v>91.13</v>
      </c>
      <c r="I390" s="181"/>
      <c r="J390" s="181"/>
      <c r="K390" s="181"/>
      <c r="L390" s="181"/>
      <c r="M390" s="181"/>
      <c r="N390" s="182"/>
      <c r="O390" s="190">
        <f t="shared" si="17"/>
        <v>33.751851851851846</v>
      </c>
      <c r="P390" s="190"/>
      <c r="Q390" s="190">
        <f t="shared" si="18"/>
        <v>33.751851851851846</v>
      </c>
    </row>
    <row r="391" spans="1:17" s="132" customFormat="1" ht="12.75">
      <c r="A391" s="185" t="s">
        <v>36</v>
      </c>
      <c r="B391" s="186" t="s">
        <v>513</v>
      </c>
      <c r="C391" s="187">
        <v>270</v>
      </c>
      <c r="D391" s="187"/>
      <c r="E391" s="189">
        <v>270</v>
      </c>
      <c r="F391" s="187">
        <f t="shared" si="16"/>
        <v>270</v>
      </c>
      <c r="G391" s="187"/>
      <c r="H391" s="189">
        <v>270</v>
      </c>
      <c r="I391" s="181"/>
      <c r="J391" s="181"/>
      <c r="K391" s="181"/>
      <c r="L391" s="181"/>
      <c r="M391" s="181"/>
      <c r="N391" s="182"/>
      <c r="O391" s="190">
        <f t="shared" si="17"/>
        <v>100</v>
      </c>
      <c r="P391" s="190"/>
      <c r="Q391" s="190">
        <f t="shared" si="18"/>
        <v>100</v>
      </c>
    </row>
    <row r="392" spans="1:17" s="132" customFormat="1" ht="12.75">
      <c r="A392" s="185" t="s">
        <v>36</v>
      </c>
      <c r="B392" s="186" t="s">
        <v>514</v>
      </c>
      <c r="C392" s="187">
        <v>270</v>
      </c>
      <c r="D392" s="187"/>
      <c r="E392" s="189">
        <v>270</v>
      </c>
      <c r="F392" s="187">
        <f t="shared" si="16"/>
        <v>270</v>
      </c>
      <c r="G392" s="187"/>
      <c r="H392" s="189">
        <v>270</v>
      </c>
      <c r="I392" s="181"/>
      <c r="J392" s="181"/>
      <c r="K392" s="181"/>
      <c r="L392" s="181"/>
      <c r="M392" s="181"/>
      <c r="N392" s="182"/>
      <c r="O392" s="190">
        <f t="shared" si="17"/>
        <v>100</v>
      </c>
      <c r="P392" s="190"/>
      <c r="Q392" s="190">
        <f t="shared" si="18"/>
        <v>100</v>
      </c>
    </row>
    <row r="393" spans="1:17" s="132" customFormat="1" ht="12.75">
      <c r="A393" s="185" t="s">
        <v>36</v>
      </c>
      <c r="B393" s="186" t="s">
        <v>515</v>
      </c>
      <c r="C393" s="187">
        <v>270</v>
      </c>
      <c r="D393" s="187"/>
      <c r="E393" s="189">
        <v>270</v>
      </c>
      <c r="F393" s="187">
        <f t="shared" si="16"/>
        <v>270</v>
      </c>
      <c r="G393" s="187"/>
      <c r="H393" s="189">
        <v>270</v>
      </c>
      <c r="I393" s="181"/>
      <c r="J393" s="181"/>
      <c r="K393" s="181"/>
      <c r="L393" s="181"/>
      <c r="M393" s="181"/>
      <c r="N393" s="182"/>
      <c r="O393" s="190">
        <f t="shared" si="17"/>
        <v>100</v>
      </c>
      <c r="P393" s="190"/>
      <c r="Q393" s="190">
        <f t="shared" si="18"/>
        <v>100</v>
      </c>
    </row>
    <row r="394" spans="1:17" s="132" customFormat="1" ht="12.75">
      <c r="A394" s="185" t="s">
        <v>36</v>
      </c>
      <c r="B394" s="186" t="s">
        <v>516</v>
      </c>
      <c r="C394" s="187">
        <v>270</v>
      </c>
      <c r="D394" s="187"/>
      <c r="E394" s="189">
        <v>270</v>
      </c>
      <c r="F394" s="187">
        <f t="shared" ref="F394:F457" si="19">G394+H394+I394+J394+K394+N394</f>
        <v>270</v>
      </c>
      <c r="G394" s="187"/>
      <c r="H394" s="189">
        <v>270</v>
      </c>
      <c r="I394" s="181"/>
      <c r="J394" s="181"/>
      <c r="K394" s="181"/>
      <c r="L394" s="181"/>
      <c r="M394" s="181"/>
      <c r="N394" s="182"/>
      <c r="O394" s="190">
        <f t="shared" si="17"/>
        <v>100</v>
      </c>
      <c r="P394" s="190"/>
      <c r="Q394" s="190">
        <f t="shared" si="18"/>
        <v>100</v>
      </c>
    </row>
    <row r="395" spans="1:17" s="132" customFormat="1" ht="12.75">
      <c r="A395" s="185" t="s">
        <v>36</v>
      </c>
      <c r="B395" s="186" t="s">
        <v>517</v>
      </c>
      <c r="C395" s="187">
        <v>270</v>
      </c>
      <c r="D395" s="187"/>
      <c r="E395" s="189">
        <v>270</v>
      </c>
      <c r="F395" s="187">
        <f t="shared" si="19"/>
        <v>270</v>
      </c>
      <c r="G395" s="187"/>
      <c r="H395" s="189">
        <v>270</v>
      </c>
      <c r="I395" s="181"/>
      <c r="J395" s="181"/>
      <c r="K395" s="181"/>
      <c r="L395" s="181"/>
      <c r="M395" s="181"/>
      <c r="N395" s="182"/>
      <c r="O395" s="190">
        <f t="shared" si="17"/>
        <v>100</v>
      </c>
      <c r="P395" s="190"/>
      <c r="Q395" s="190">
        <f t="shared" si="18"/>
        <v>100</v>
      </c>
    </row>
    <row r="396" spans="1:17" s="132" customFormat="1" ht="12.75">
      <c r="A396" s="185" t="s">
        <v>36</v>
      </c>
      <c r="B396" s="186" t="s">
        <v>518</v>
      </c>
      <c r="C396" s="187">
        <v>270</v>
      </c>
      <c r="D396" s="187"/>
      <c r="E396" s="189">
        <v>270</v>
      </c>
      <c r="F396" s="187">
        <f t="shared" si="19"/>
        <v>240</v>
      </c>
      <c r="G396" s="187"/>
      <c r="H396" s="189">
        <v>240</v>
      </c>
      <c r="I396" s="181"/>
      <c r="J396" s="181"/>
      <c r="K396" s="181"/>
      <c r="L396" s="181"/>
      <c r="M396" s="181"/>
      <c r="N396" s="182"/>
      <c r="O396" s="190">
        <f t="shared" si="17"/>
        <v>88.888888888888886</v>
      </c>
      <c r="P396" s="190"/>
      <c r="Q396" s="190">
        <f t="shared" si="18"/>
        <v>88.888888888888886</v>
      </c>
    </row>
    <row r="397" spans="1:17" s="132" customFormat="1" ht="12.75">
      <c r="A397" s="185" t="s">
        <v>36</v>
      </c>
      <c r="B397" s="186" t="s">
        <v>519</v>
      </c>
      <c r="C397" s="187">
        <v>30</v>
      </c>
      <c r="D397" s="187"/>
      <c r="E397" s="189">
        <v>30</v>
      </c>
      <c r="F397" s="187">
        <f t="shared" si="19"/>
        <v>30</v>
      </c>
      <c r="G397" s="187"/>
      <c r="H397" s="189">
        <v>30</v>
      </c>
      <c r="I397" s="181"/>
      <c r="J397" s="181"/>
      <c r="K397" s="181"/>
      <c r="L397" s="181"/>
      <c r="M397" s="181"/>
      <c r="N397" s="182"/>
      <c r="O397" s="190">
        <f t="shared" ref="O397:O460" si="20">F397/C397*100</f>
        <v>100</v>
      </c>
      <c r="P397" s="190"/>
      <c r="Q397" s="190">
        <f t="shared" ref="Q397:Q460" si="21">H397/E397*100</f>
        <v>100</v>
      </c>
    </row>
    <row r="398" spans="1:17" s="132" customFormat="1" ht="12.75">
      <c r="A398" s="185" t="s">
        <v>36</v>
      </c>
      <c r="B398" s="186" t="s">
        <v>520</v>
      </c>
      <c r="C398" s="187">
        <v>200</v>
      </c>
      <c r="D398" s="187"/>
      <c r="E398" s="189">
        <v>200</v>
      </c>
      <c r="F398" s="187">
        <f t="shared" si="19"/>
        <v>200</v>
      </c>
      <c r="G398" s="187"/>
      <c r="H398" s="189">
        <v>200</v>
      </c>
      <c r="I398" s="181"/>
      <c r="J398" s="181"/>
      <c r="K398" s="181"/>
      <c r="L398" s="181"/>
      <c r="M398" s="181"/>
      <c r="N398" s="182"/>
      <c r="O398" s="190">
        <f t="shared" si="20"/>
        <v>100</v>
      </c>
      <c r="P398" s="190"/>
      <c r="Q398" s="190">
        <f t="shared" si="21"/>
        <v>100</v>
      </c>
    </row>
    <row r="399" spans="1:17" s="132" customFormat="1" ht="25.5">
      <c r="A399" s="185" t="s">
        <v>36</v>
      </c>
      <c r="B399" s="186" t="s">
        <v>521</v>
      </c>
      <c r="C399" s="187">
        <v>200</v>
      </c>
      <c r="D399" s="187"/>
      <c r="E399" s="207">
        <v>200</v>
      </c>
      <c r="F399" s="187">
        <f t="shared" si="19"/>
        <v>200</v>
      </c>
      <c r="G399" s="187"/>
      <c r="H399" s="189">
        <v>200</v>
      </c>
      <c r="I399" s="181"/>
      <c r="J399" s="181"/>
      <c r="K399" s="181"/>
      <c r="L399" s="181"/>
      <c r="M399" s="181"/>
      <c r="N399" s="182"/>
      <c r="O399" s="190">
        <f t="shared" si="20"/>
        <v>100</v>
      </c>
      <c r="P399" s="190"/>
      <c r="Q399" s="190">
        <f t="shared" si="21"/>
        <v>100</v>
      </c>
    </row>
    <row r="400" spans="1:17" s="132" customFormat="1" ht="12.75">
      <c r="A400" s="185" t="s">
        <v>36</v>
      </c>
      <c r="B400" s="186" t="s">
        <v>522</v>
      </c>
      <c r="C400" s="187">
        <v>1300</v>
      </c>
      <c r="D400" s="187"/>
      <c r="E400" s="207">
        <v>1300</v>
      </c>
      <c r="F400" s="187">
        <f t="shared" si="19"/>
        <v>1261</v>
      </c>
      <c r="G400" s="187"/>
      <c r="H400" s="189">
        <v>1261</v>
      </c>
      <c r="I400" s="181"/>
      <c r="J400" s="181"/>
      <c r="K400" s="181"/>
      <c r="L400" s="181"/>
      <c r="M400" s="181"/>
      <c r="N400" s="182"/>
      <c r="O400" s="190">
        <f t="shared" si="20"/>
        <v>97</v>
      </c>
      <c r="P400" s="190"/>
      <c r="Q400" s="190">
        <f t="shared" si="21"/>
        <v>97</v>
      </c>
    </row>
    <row r="401" spans="1:17" s="132" customFormat="1" ht="25.5">
      <c r="A401" s="185" t="s">
        <v>36</v>
      </c>
      <c r="B401" s="196" t="s">
        <v>523</v>
      </c>
      <c r="C401" s="187">
        <v>1100</v>
      </c>
      <c r="D401" s="187"/>
      <c r="E401" s="207">
        <v>1100</v>
      </c>
      <c r="F401" s="187">
        <f t="shared" si="19"/>
        <v>1064.9000000000001</v>
      </c>
      <c r="G401" s="187"/>
      <c r="H401" s="189">
        <v>1064.9000000000001</v>
      </c>
      <c r="I401" s="181"/>
      <c r="J401" s="181"/>
      <c r="K401" s="181"/>
      <c r="L401" s="181"/>
      <c r="M401" s="181"/>
      <c r="N401" s="182"/>
      <c r="O401" s="190">
        <f t="shared" si="20"/>
        <v>96.809090909090926</v>
      </c>
      <c r="P401" s="190"/>
      <c r="Q401" s="190">
        <f t="shared" si="21"/>
        <v>96.809090909090926</v>
      </c>
    </row>
    <row r="402" spans="1:17" s="132" customFormat="1" ht="12.75">
      <c r="A402" s="185" t="s">
        <v>36</v>
      </c>
      <c r="B402" s="186" t="s">
        <v>524</v>
      </c>
      <c r="C402" s="187">
        <v>10000</v>
      </c>
      <c r="D402" s="187"/>
      <c r="E402" s="189">
        <v>10000</v>
      </c>
      <c r="F402" s="187">
        <f t="shared" si="19"/>
        <v>8144.4849999999997</v>
      </c>
      <c r="G402" s="187"/>
      <c r="H402" s="189">
        <f>SUM(H403:H415)</f>
        <v>8144.4849999999997</v>
      </c>
      <c r="I402" s="181"/>
      <c r="J402" s="181"/>
      <c r="K402" s="181"/>
      <c r="L402" s="181"/>
      <c r="M402" s="181"/>
      <c r="N402" s="182"/>
      <c r="O402" s="190">
        <f t="shared" si="20"/>
        <v>81.444850000000002</v>
      </c>
      <c r="P402" s="190"/>
      <c r="Q402" s="190">
        <f t="shared" si="21"/>
        <v>81.444850000000002</v>
      </c>
    </row>
    <row r="403" spans="1:17" s="132" customFormat="1" ht="12.75">
      <c r="A403" s="203"/>
      <c r="B403" s="208" t="s">
        <v>470</v>
      </c>
      <c r="C403" s="187">
        <v>0</v>
      </c>
      <c r="D403" s="187"/>
      <c r="E403" s="209"/>
      <c r="F403" s="187">
        <f t="shared" si="19"/>
        <v>5500</v>
      </c>
      <c r="G403" s="187"/>
      <c r="H403" s="205">
        <v>5500</v>
      </c>
      <c r="I403" s="181"/>
      <c r="J403" s="181"/>
      <c r="K403" s="181"/>
      <c r="L403" s="181"/>
      <c r="M403" s="181"/>
      <c r="N403" s="182"/>
      <c r="O403" s="190"/>
      <c r="P403" s="190"/>
      <c r="Q403" s="190"/>
    </row>
    <row r="404" spans="1:17" s="132" customFormat="1" ht="12.75">
      <c r="A404" s="203"/>
      <c r="B404" s="208" t="s">
        <v>479</v>
      </c>
      <c r="C404" s="187">
        <v>0</v>
      </c>
      <c r="D404" s="187"/>
      <c r="E404" s="209"/>
      <c r="F404" s="187">
        <f t="shared" si="19"/>
        <v>900</v>
      </c>
      <c r="G404" s="187"/>
      <c r="H404" s="205">
        <v>900</v>
      </c>
      <c r="I404" s="181"/>
      <c r="J404" s="181"/>
      <c r="K404" s="181"/>
      <c r="L404" s="181"/>
      <c r="M404" s="181"/>
      <c r="N404" s="182"/>
      <c r="O404" s="190"/>
      <c r="P404" s="190"/>
      <c r="Q404" s="190"/>
    </row>
    <row r="405" spans="1:17" s="132" customFormat="1" ht="12.75">
      <c r="A405" s="203"/>
      <c r="B405" s="208" t="s">
        <v>525</v>
      </c>
      <c r="C405" s="187">
        <v>0</v>
      </c>
      <c r="D405" s="187"/>
      <c r="E405" s="209"/>
      <c r="F405" s="187">
        <f t="shared" si="19"/>
        <v>110</v>
      </c>
      <c r="G405" s="187"/>
      <c r="H405" s="205">
        <v>110</v>
      </c>
      <c r="I405" s="181"/>
      <c r="J405" s="181"/>
      <c r="K405" s="181"/>
      <c r="L405" s="181"/>
      <c r="M405" s="181"/>
      <c r="N405" s="182"/>
      <c r="O405" s="190"/>
      <c r="P405" s="190"/>
      <c r="Q405" s="190"/>
    </row>
    <row r="406" spans="1:17" s="132" customFormat="1" ht="12.75">
      <c r="A406" s="203"/>
      <c r="B406" s="208" t="s">
        <v>526</v>
      </c>
      <c r="C406" s="187">
        <v>0</v>
      </c>
      <c r="D406" s="187"/>
      <c r="E406" s="209"/>
      <c r="F406" s="210">
        <f t="shared" si="19"/>
        <v>40</v>
      </c>
      <c r="G406" s="187"/>
      <c r="H406" s="205">
        <v>40</v>
      </c>
      <c r="I406" s="181"/>
      <c r="J406" s="181"/>
      <c r="K406" s="181"/>
      <c r="L406" s="181"/>
      <c r="M406" s="181"/>
      <c r="N406" s="182"/>
      <c r="O406" s="190"/>
      <c r="P406" s="190"/>
      <c r="Q406" s="190"/>
    </row>
    <row r="407" spans="1:17" s="132" customFormat="1" ht="12.75">
      <c r="A407" s="203"/>
      <c r="B407" s="208" t="s">
        <v>527</v>
      </c>
      <c r="C407" s="187">
        <v>0</v>
      </c>
      <c r="D407" s="187"/>
      <c r="E407" s="209"/>
      <c r="F407" s="210">
        <f t="shared" si="19"/>
        <v>426.48500000000001</v>
      </c>
      <c r="G407" s="187"/>
      <c r="H407" s="205">
        <v>426.48500000000001</v>
      </c>
      <c r="I407" s="181"/>
      <c r="J407" s="181"/>
      <c r="K407" s="181"/>
      <c r="L407" s="181"/>
      <c r="M407" s="181"/>
      <c r="N407" s="182"/>
      <c r="O407" s="190"/>
      <c r="P407" s="190"/>
      <c r="Q407" s="190"/>
    </row>
    <row r="408" spans="1:17" s="132" customFormat="1" ht="12.75">
      <c r="A408" s="203"/>
      <c r="B408" s="208" t="s">
        <v>284</v>
      </c>
      <c r="C408" s="187">
        <v>0</v>
      </c>
      <c r="D408" s="187"/>
      <c r="E408" s="209"/>
      <c r="F408" s="210">
        <f t="shared" si="19"/>
        <v>265</v>
      </c>
      <c r="G408" s="187"/>
      <c r="H408" s="205">
        <v>265</v>
      </c>
      <c r="I408" s="181"/>
      <c r="J408" s="181"/>
      <c r="K408" s="181"/>
      <c r="L408" s="181"/>
      <c r="M408" s="181"/>
      <c r="N408" s="182"/>
      <c r="O408" s="190"/>
      <c r="P408" s="190"/>
      <c r="Q408" s="190"/>
    </row>
    <row r="409" spans="1:17" s="132" customFormat="1" ht="12.75">
      <c r="A409" s="203"/>
      <c r="B409" s="208" t="s">
        <v>195</v>
      </c>
      <c r="C409" s="187">
        <v>0</v>
      </c>
      <c r="D409" s="187"/>
      <c r="E409" s="209"/>
      <c r="F409" s="210">
        <f t="shared" si="19"/>
        <v>500</v>
      </c>
      <c r="G409" s="187"/>
      <c r="H409" s="205">
        <v>500</v>
      </c>
      <c r="I409" s="181"/>
      <c r="J409" s="181"/>
      <c r="K409" s="181"/>
      <c r="L409" s="181"/>
      <c r="M409" s="181"/>
      <c r="N409" s="182"/>
      <c r="O409" s="190"/>
      <c r="P409" s="190"/>
      <c r="Q409" s="190"/>
    </row>
    <row r="410" spans="1:17" s="132" customFormat="1" ht="12.75">
      <c r="A410" s="203"/>
      <c r="B410" s="208" t="s">
        <v>473</v>
      </c>
      <c r="C410" s="187">
        <v>0</v>
      </c>
      <c r="D410" s="187"/>
      <c r="E410" s="209"/>
      <c r="F410" s="210">
        <f t="shared" si="19"/>
        <v>133</v>
      </c>
      <c r="G410" s="187"/>
      <c r="H410" s="205">
        <v>133</v>
      </c>
      <c r="I410" s="181"/>
      <c r="J410" s="181"/>
      <c r="K410" s="181"/>
      <c r="L410" s="181"/>
      <c r="M410" s="181"/>
      <c r="N410" s="182"/>
      <c r="O410" s="190"/>
      <c r="P410" s="190"/>
      <c r="Q410" s="190"/>
    </row>
    <row r="411" spans="1:17" s="132" customFormat="1" ht="12.75">
      <c r="A411" s="203"/>
      <c r="B411" s="208" t="s">
        <v>293</v>
      </c>
      <c r="C411" s="187">
        <v>0</v>
      </c>
      <c r="D411" s="187"/>
      <c r="E411" s="209"/>
      <c r="F411" s="210">
        <f t="shared" si="19"/>
        <v>40</v>
      </c>
      <c r="G411" s="187"/>
      <c r="H411" s="205">
        <v>40</v>
      </c>
      <c r="I411" s="181"/>
      <c r="J411" s="181"/>
      <c r="K411" s="181"/>
      <c r="L411" s="181"/>
      <c r="M411" s="181"/>
      <c r="N411" s="182"/>
      <c r="O411" s="190"/>
      <c r="P411" s="190"/>
      <c r="Q411" s="190"/>
    </row>
    <row r="412" spans="1:17" s="132" customFormat="1" ht="12.75">
      <c r="A412" s="203"/>
      <c r="B412" s="208" t="s">
        <v>480</v>
      </c>
      <c r="C412" s="187">
        <v>0</v>
      </c>
      <c r="D412" s="187"/>
      <c r="E412" s="209"/>
      <c r="F412" s="210">
        <f t="shared" si="19"/>
        <v>40</v>
      </c>
      <c r="G412" s="187"/>
      <c r="H412" s="205">
        <v>40</v>
      </c>
      <c r="I412" s="181"/>
      <c r="J412" s="181"/>
      <c r="K412" s="181"/>
      <c r="L412" s="181"/>
      <c r="M412" s="181"/>
      <c r="N412" s="182"/>
      <c r="O412" s="190"/>
      <c r="P412" s="190"/>
      <c r="Q412" s="190"/>
    </row>
    <row r="413" spans="1:17" s="132" customFormat="1" ht="12.75">
      <c r="A413" s="203"/>
      <c r="B413" s="208" t="s">
        <v>478</v>
      </c>
      <c r="C413" s="187">
        <v>0</v>
      </c>
      <c r="D413" s="187"/>
      <c r="E413" s="209"/>
      <c r="F413" s="210">
        <f t="shared" si="19"/>
        <v>40</v>
      </c>
      <c r="G413" s="187"/>
      <c r="H413" s="205">
        <v>40</v>
      </c>
      <c r="I413" s="181"/>
      <c r="J413" s="181"/>
      <c r="K413" s="181"/>
      <c r="L413" s="181"/>
      <c r="M413" s="181"/>
      <c r="N413" s="182"/>
      <c r="O413" s="190"/>
      <c r="P413" s="190"/>
      <c r="Q413" s="190"/>
    </row>
    <row r="414" spans="1:17" s="132" customFormat="1" ht="12.75">
      <c r="A414" s="203"/>
      <c r="B414" s="208" t="s">
        <v>528</v>
      </c>
      <c r="C414" s="187">
        <v>0</v>
      </c>
      <c r="D414" s="187"/>
      <c r="E414" s="209"/>
      <c r="F414" s="210">
        <f t="shared" si="19"/>
        <v>100</v>
      </c>
      <c r="G414" s="187"/>
      <c r="H414" s="205">
        <v>100</v>
      </c>
      <c r="I414" s="181"/>
      <c r="J414" s="181"/>
      <c r="K414" s="181"/>
      <c r="L414" s="181"/>
      <c r="M414" s="181"/>
      <c r="N414" s="182"/>
      <c r="O414" s="190"/>
      <c r="P414" s="190"/>
      <c r="Q414" s="190"/>
    </row>
    <row r="415" spans="1:17" s="132" customFormat="1" ht="12.75">
      <c r="A415" s="203"/>
      <c r="B415" s="204" t="s">
        <v>434</v>
      </c>
      <c r="C415" s="187">
        <v>0</v>
      </c>
      <c r="D415" s="187"/>
      <c r="E415" s="209"/>
      <c r="F415" s="210">
        <f t="shared" si="19"/>
        <v>50</v>
      </c>
      <c r="G415" s="187"/>
      <c r="H415" s="205">
        <v>50</v>
      </c>
      <c r="I415" s="181"/>
      <c r="J415" s="181"/>
      <c r="K415" s="181"/>
      <c r="L415" s="181"/>
      <c r="M415" s="181"/>
      <c r="N415" s="182"/>
      <c r="O415" s="190"/>
      <c r="P415" s="190"/>
      <c r="Q415" s="190"/>
    </row>
    <row r="416" spans="1:17" s="132" customFormat="1" ht="12.75">
      <c r="A416" s="185" t="s">
        <v>36</v>
      </c>
      <c r="B416" s="186" t="s">
        <v>529</v>
      </c>
      <c r="C416" s="187">
        <v>20000</v>
      </c>
      <c r="D416" s="187"/>
      <c r="E416" s="207">
        <v>20000</v>
      </c>
      <c r="F416" s="187">
        <f t="shared" si="19"/>
        <v>32472.05</v>
      </c>
      <c r="G416" s="187"/>
      <c r="H416" s="189">
        <f>SUM(H417:H464)+H468</f>
        <v>32472.05</v>
      </c>
      <c r="I416" s="181"/>
      <c r="J416" s="181"/>
      <c r="K416" s="181"/>
      <c r="L416" s="181"/>
      <c r="M416" s="181"/>
      <c r="N416" s="182"/>
      <c r="O416" s="190">
        <f t="shared" si="20"/>
        <v>162.36025000000001</v>
      </c>
      <c r="P416" s="190"/>
      <c r="Q416" s="190">
        <f t="shared" si="21"/>
        <v>162.36025000000001</v>
      </c>
    </row>
    <row r="417" spans="1:17" s="132" customFormat="1" ht="12.75">
      <c r="A417" s="185" t="s">
        <v>273</v>
      </c>
      <c r="B417" s="186" t="s">
        <v>193</v>
      </c>
      <c r="C417" s="187">
        <v>400</v>
      </c>
      <c r="D417" s="187"/>
      <c r="E417" s="188">
        <v>400</v>
      </c>
      <c r="F417" s="187">
        <f t="shared" si="19"/>
        <v>400</v>
      </c>
      <c r="G417" s="187"/>
      <c r="H417" s="189">
        <v>400</v>
      </c>
      <c r="I417" s="181"/>
      <c r="J417" s="181"/>
      <c r="K417" s="181"/>
      <c r="L417" s="181"/>
      <c r="M417" s="181"/>
      <c r="N417" s="182"/>
      <c r="O417" s="190">
        <f t="shared" si="20"/>
        <v>100</v>
      </c>
      <c r="P417" s="190"/>
      <c r="Q417" s="190">
        <f t="shared" si="21"/>
        <v>100</v>
      </c>
    </row>
    <row r="418" spans="1:17" s="132" customFormat="1" ht="25.5">
      <c r="A418" s="185" t="s">
        <v>273</v>
      </c>
      <c r="B418" s="186" t="s">
        <v>530</v>
      </c>
      <c r="C418" s="187">
        <v>508</v>
      </c>
      <c r="D418" s="187"/>
      <c r="E418" s="188">
        <v>508</v>
      </c>
      <c r="F418" s="187">
        <f t="shared" si="19"/>
        <v>774</v>
      </c>
      <c r="G418" s="187"/>
      <c r="H418" s="189">
        <f>507+267</f>
        <v>774</v>
      </c>
      <c r="I418" s="181"/>
      <c r="J418" s="181"/>
      <c r="K418" s="181"/>
      <c r="L418" s="181"/>
      <c r="M418" s="181"/>
      <c r="N418" s="182"/>
      <c r="O418" s="190">
        <f t="shared" si="20"/>
        <v>152.36220472440945</v>
      </c>
      <c r="P418" s="190"/>
      <c r="Q418" s="190">
        <f t="shared" si="21"/>
        <v>152.36220472440945</v>
      </c>
    </row>
    <row r="419" spans="1:17" s="132" customFormat="1" ht="12.75">
      <c r="A419" s="185" t="s">
        <v>273</v>
      </c>
      <c r="B419" s="186" t="s">
        <v>195</v>
      </c>
      <c r="C419" s="187">
        <v>977.59999999999991</v>
      </c>
      <c r="D419" s="187"/>
      <c r="E419" s="188">
        <v>977.59999999999991</v>
      </c>
      <c r="F419" s="187">
        <f t="shared" si="19"/>
        <v>977.59999999999991</v>
      </c>
      <c r="G419" s="187"/>
      <c r="H419" s="189">
        <v>977.59999999999991</v>
      </c>
      <c r="I419" s="181"/>
      <c r="J419" s="181"/>
      <c r="K419" s="181"/>
      <c r="L419" s="181"/>
      <c r="M419" s="181"/>
      <c r="N419" s="182"/>
      <c r="O419" s="190">
        <f t="shared" si="20"/>
        <v>100</v>
      </c>
      <c r="P419" s="190"/>
      <c r="Q419" s="190">
        <f t="shared" si="21"/>
        <v>100</v>
      </c>
    </row>
    <row r="420" spans="1:17" s="132" customFormat="1" ht="12.75">
      <c r="A420" s="185" t="s">
        <v>273</v>
      </c>
      <c r="B420" s="186" t="s">
        <v>531</v>
      </c>
      <c r="C420" s="187">
        <v>488.99700000000001</v>
      </c>
      <c r="D420" s="187"/>
      <c r="E420" s="188">
        <v>488.99700000000001</v>
      </c>
      <c r="F420" s="187">
        <f t="shared" si="19"/>
        <v>488.99700000000001</v>
      </c>
      <c r="G420" s="187"/>
      <c r="H420" s="189">
        <v>488.99700000000001</v>
      </c>
      <c r="I420" s="181"/>
      <c r="J420" s="181"/>
      <c r="K420" s="181"/>
      <c r="L420" s="181"/>
      <c r="M420" s="181"/>
      <c r="N420" s="182"/>
      <c r="O420" s="190">
        <f t="shared" si="20"/>
        <v>100</v>
      </c>
      <c r="P420" s="190"/>
      <c r="Q420" s="190">
        <f t="shared" si="21"/>
        <v>100</v>
      </c>
    </row>
    <row r="421" spans="1:17" s="132" customFormat="1" ht="12.75">
      <c r="A421" s="185" t="s">
        <v>273</v>
      </c>
      <c r="B421" s="186" t="s">
        <v>434</v>
      </c>
      <c r="C421" s="187">
        <v>3785.5</v>
      </c>
      <c r="D421" s="187"/>
      <c r="E421" s="188">
        <v>3785.5</v>
      </c>
      <c r="F421" s="187">
        <f t="shared" si="19"/>
        <v>3785.5</v>
      </c>
      <c r="G421" s="187"/>
      <c r="H421" s="189">
        <v>3785.5</v>
      </c>
      <c r="I421" s="181"/>
      <c r="J421" s="181"/>
      <c r="K421" s="181"/>
      <c r="L421" s="181"/>
      <c r="M421" s="181"/>
      <c r="N421" s="182"/>
      <c r="O421" s="190">
        <f t="shared" si="20"/>
        <v>100</v>
      </c>
      <c r="P421" s="190"/>
      <c r="Q421" s="190">
        <f t="shared" si="21"/>
        <v>100</v>
      </c>
    </row>
    <row r="422" spans="1:17" s="132" customFormat="1" ht="12.75">
      <c r="A422" s="185" t="s">
        <v>273</v>
      </c>
      <c r="B422" s="186" t="s">
        <v>527</v>
      </c>
      <c r="C422" s="187">
        <v>2273.3000000000002</v>
      </c>
      <c r="D422" s="187"/>
      <c r="E422" s="188">
        <v>2273.3000000000002</v>
      </c>
      <c r="F422" s="187">
        <f t="shared" si="19"/>
        <v>1503</v>
      </c>
      <c r="G422" s="187"/>
      <c r="H422" s="189">
        <v>1503</v>
      </c>
      <c r="I422" s="181"/>
      <c r="J422" s="181"/>
      <c r="K422" s="181"/>
      <c r="L422" s="181"/>
      <c r="M422" s="181"/>
      <c r="N422" s="182"/>
      <c r="O422" s="190">
        <f t="shared" si="20"/>
        <v>66.115338934588479</v>
      </c>
      <c r="P422" s="190"/>
      <c r="Q422" s="190">
        <f t="shared" si="21"/>
        <v>66.115338934588479</v>
      </c>
    </row>
    <row r="423" spans="1:17" s="132" customFormat="1" ht="12.75">
      <c r="A423" s="185" t="s">
        <v>273</v>
      </c>
      <c r="B423" s="186" t="s">
        <v>456</v>
      </c>
      <c r="C423" s="187">
        <v>435</v>
      </c>
      <c r="D423" s="187"/>
      <c r="E423" s="188">
        <v>435</v>
      </c>
      <c r="F423" s="187">
        <f t="shared" si="19"/>
        <v>435</v>
      </c>
      <c r="G423" s="187"/>
      <c r="H423" s="189">
        <v>435</v>
      </c>
      <c r="I423" s="181"/>
      <c r="J423" s="181"/>
      <c r="K423" s="181"/>
      <c r="L423" s="181"/>
      <c r="M423" s="181"/>
      <c r="N423" s="182"/>
      <c r="O423" s="190">
        <f t="shared" si="20"/>
        <v>100</v>
      </c>
      <c r="P423" s="190"/>
      <c r="Q423" s="190">
        <f t="shared" si="21"/>
        <v>100</v>
      </c>
    </row>
    <row r="424" spans="1:17" s="132" customFormat="1" ht="12.75">
      <c r="A424" s="185" t="s">
        <v>273</v>
      </c>
      <c r="B424" s="186" t="s">
        <v>289</v>
      </c>
      <c r="C424" s="187">
        <v>150</v>
      </c>
      <c r="D424" s="187"/>
      <c r="E424" s="207">
        <v>150</v>
      </c>
      <c r="F424" s="187">
        <f t="shared" si="19"/>
        <v>150</v>
      </c>
      <c r="G424" s="187"/>
      <c r="H424" s="189">
        <v>150</v>
      </c>
      <c r="I424" s="181"/>
      <c r="J424" s="181"/>
      <c r="K424" s="181"/>
      <c r="L424" s="181"/>
      <c r="M424" s="181"/>
      <c r="N424" s="182"/>
      <c r="O424" s="190">
        <f t="shared" si="20"/>
        <v>100</v>
      </c>
      <c r="P424" s="190"/>
      <c r="Q424" s="190">
        <f t="shared" si="21"/>
        <v>100</v>
      </c>
    </row>
    <row r="425" spans="1:17" s="132" customFormat="1" ht="12.75">
      <c r="A425" s="185" t="s">
        <v>273</v>
      </c>
      <c r="B425" s="186" t="s">
        <v>532</v>
      </c>
      <c r="C425" s="187">
        <v>950</v>
      </c>
      <c r="D425" s="187"/>
      <c r="E425" s="207">
        <v>950</v>
      </c>
      <c r="F425" s="187">
        <f t="shared" si="19"/>
        <v>950</v>
      </c>
      <c r="G425" s="187"/>
      <c r="H425" s="189">
        <v>950</v>
      </c>
      <c r="I425" s="181"/>
      <c r="J425" s="181"/>
      <c r="K425" s="181"/>
      <c r="L425" s="181"/>
      <c r="M425" s="181"/>
      <c r="N425" s="182"/>
      <c r="O425" s="190">
        <f t="shared" si="20"/>
        <v>100</v>
      </c>
      <c r="P425" s="190"/>
      <c r="Q425" s="190">
        <f t="shared" si="21"/>
        <v>100</v>
      </c>
    </row>
    <row r="426" spans="1:17" s="132" customFormat="1" ht="12.75">
      <c r="A426" s="185" t="s">
        <v>273</v>
      </c>
      <c r="B426" s="186" t="s">
        <v>279</v>
      </c>
      <c r="C426" s="187">
        <v>45</v>
      </c>
      <c r="D426" s="187"/>
      <c r="E426" s="207">
        <v>45</v>
      </c>
      <c r="F426" s="187">
        <f t="shared" si="19"/>
        <v>45</v>
      </c>
      <c r="G426" s="187"/>
      <c r="H426" s="189">
        <v>45</v>
      </c>
      <c r="I426" s="181"/>
      <c r="J426" s="181"/>
      <c r="K426" s="181"/>
      <c r="L426" s="181"/>
      <c r="M426" s="181"/>
      <c r="N426" s="182"/>
      <c r="O426" s="190">
        <f t="shared" si="20"/>
        <v>100</v>
      </c>
      <c r="P426" s="190"/>
      <c r="Q426" s="190">
        <f t="shared" si="21"/>
        <v>100</v>
      </c>
    </row>
    <row r="427" spans="1:17" s="132" customFormat="1" ht="12.75">
      <c r="A427" s="185" t="s">
        <v>273</v>
      </c>
      <c r="B427" s="186" t="s">
        <v>533</v>
      </c>
      <c r="C427" s="187">
        <v>417.75700000000001</v>
      </c>
      <c r="D427" s="187"/>
      <c r="E427" s="207">
        <v>417.75700000000001</v>
      </c>
      <c r="F427" s="187">
        <f t="shared" si="19"/>
        <v>417.75700000000001</v>
      </c>
      <c r="G427" s="187"/>
      <c r="H427" s="189">
        <v>417.75700000000001</v>
      </c>
      <c r="I427" s="181"/>
      <c r="J427" s="181"/>
      <c r="K427" s="181"/>
      <c r="L427" s="181"/>
      <c r="M427" s="181"/>
      <c r="N427" s="182"/>
      <c r="O427" s="190">
        <f t="shared" si="20"/>
        <v>100</v>
      </c>
      <c r="P427" s="190"/>
      <c r="Q427" s="190">
        <f t="shared" si="21"/>
        <v>100</v>
      </c>
    </row>
    <row r="428" spans="1:17" s="132" customFormat="1" ht="12.75">
      <c r="A428" s="185" t="s">
        <v>273</v>
      </c>
      <c r="B428" s="186" t="s">
        <v>431</v>
      </c>
      <c r="C428" s="187">
        <v>2767.43</v>
      </c>
      <c r="D428" s="187"/>
      <c r="E428" s="207">
        <v>2767.43</v>
      </c>
      <c r="F428" s="187">
        <f t="shared" si="19"/>
        <v>2717.21</v>
      </c>
      <c r="G428" s="187"/>
      <c r="H428" s="189">
        <f>2767-49.79</f>
        <v>2717.21</v>
      </c>
      <c r="I428" s="181"/>
      <c r="J428" s="181"/>
      <c r="K428" s="181"/>
      <c r="L428" s="181"/>
      <c r="M428" s="181"/>
      <c r="N428" s="182"/>
      <c r="O428" s="190">
        <f t="shared" si="20"/>
        <v>98.185319953892247</v>
      </c>
      <c r="P428" s="190"/>
      <c r="Q428" s="190">
        <f t="shared" si="21"/>
        <v>98.185319953892247</v>
      </c>
    </row>
    <row r="429" spans="1:17" s="132" customFormat="1" ht="25.5">
      <c r="A429" s="185" t="s">
        <v>273</v>
      </c>
      <c r="B429" s="186" t="s">
        <v>534</v>
      </c>
      <c r="C429" s="187">
        <v>138.30000000000001</v>
      </c>
      <c r="D429" s="187"/>
      <c r="E429" s="207">
        <v>138.30000000000001</v>
      </c>
      <c r="F429" s="187">
        <f t="shared" si="19"/>
        <v>138.30000000000001</v>
      </c>
      <c r="G429" s="187"/>
      <c r="H429" s="189">
        <v>138.30000000000001</v>
      </c>
      <c r="I429" s="181"/>
      <c r="J429" s="181"/>
      <c r="K429" s="181"/>
      <c r="L429" s="181"/>
      <c r="M429" s="181"/>
      <c r="N429" s="182"/>
      <c r="O429" s="190">
        <f t="shared" si="20"/>
        <v>100</v>
      </c>
      <c r="P429" s="190"/>
      <c r="Q429" s="190">
        <f t="shared" si="21"/>
        <v>100</v>
      </c>
    </row>
    <row r="430" spans="1:17" s="132" customFormat="1" ht="25.5">
      <c r="A430" s="185" t="s">
        <v>273</v>
      </c>
      <c r="B430" s="186" t="s">
        <v>535</v>
      </c>
      <c r="C430" s="187">
        <v>435.9</v>
      </c>
      <c r="D430" s="187"/>
      <c r="E430" s="207">
        <v>435.9</v>
      </c>
      <c r="F430" s="187">
        <f t="shared" si="19"/>
        <v>435.9</v>
      </c>
      <c r="G430" s="187"/>
      <c r="H430" s="189">
        <v>435.9</v>
      </c>
      <c r="I430" s="181"/>
      <c r="J430" s="181"/>
      <c r="K430" s="181"/>
      <c r="L430" s="181"/>
      <c r="M430" s="181"/>
      <c r="N430" s="182"/>
      <c r="O430" s="190">
        <f t="shared" si="20"/>
        <v>100</v>
      </c>
      <c r="P430" s="190"/>
      <c r="Q430" s="190">
        <f t="shared" si="21"/>
        <v>100</v>
      </c>
    </row>
    <row r="431" spans="1:17" s="132" customFormat="1" ht="12.75">
      <c r="A431" s="185" t="s">
        <v>273</v>
      </c>
      <c r="B431" s="186" t="s">
        <v>182</v>
      </c>
      <c r="C431" s="187">
        <v>1510</v>
      </c>
      <c r="D431" s="187"/>
      <c r="E431" s="207">
        <v>1510</v>
      </c>
      <c r="F431" s="187">
        <f t="shared" si="19"/>
        <v>1312</v>
      </c>
      <c r="G431" s="187"/>
      <c r="H431" s="189">
        <f>260+200+852</f>
        <v>1312</v>
      </c>
      <c r="I431" s="181"/>
      <c r="J431" s="181"/>
      <c r="K431" s="181"/>
      <c r="L431" s="181"/>
      <c r="M431" s="181"/>
      <c r="N431" s="182"/>
      <c r="O431" s="190">
        <f t="shared" si="20"/>
        <v>86.88741721854305</v>
      </c>
      <c r="P431" s="190"/>
      <c r="Q431" s="190">
        <f t="shared" si="21"/>
        <v>86.88741721854305</v>
      </c>
    </row>
    <row r="432" spans="1:17" s="132" customFormat="1" ht="12.75">
      <c r="A432" s="185" t="s">
        <v>273</v>
      </c>
      <c r="B432" s="186" t="s">
        <v>509</v>
      </c>
      <c r="C432" s="187">
        <v>1540.53</v>
      </c>
      <c r="D432" s="187"/>
      <c r="E432" s="207">
        <v>1540.53</v>
      </c>
      <c r="F432" s="187">
        <f t="shared" si="19"/>
        <v>1541</v>
      </c>
      <c r="G432" s="187"/>
      <c r="H432" s="189">
        <f>1725-92-92</f>
        <v>1541</v>
      </c>
      <c r="I432" s="181"/>
      <c r="J432" s="181"/>
      <c r="K432" s="181"/>
      <c r="L432" s="181"/>
      <c r="M432" s="181"/>
      <c r="N432" s="182"/>
      <c r="O432" s="190">
        <f t="shared" si="20"/>
        <v>100.03050898067549</v>
      </c>
      <c r="P432" s="190"/>
      <c r="Q432" s="190">
        <f t="shared" si="21"/>
        <v>100.03050898067549</v>
      </c>
    </row>
    <row r="433" spans="1:17" s="132" customFormat="1" ht="12.75">
      <c r="A433" s="185" t="s">
        <v>273</v>
      </c>
      <c r="B433" s="186" t="s">
        <v>536</v>
      </c>
      <c r="C433" s="187">
        <v>1533.3</v>
      </c>
      <c r="D433" s="187"/>
      <c r="E433" s="207">
        <v>1533.3</v>
      </c>
      <c r="F433" s="187">
        <f t="shared" si="19"/>
        <v>1533.3</v>
      </c>
      <c r="G433" s="187"/>
      <c r="H433" s="189">
        <v>1533.3</v>
      </c>
      <c r="I433" s="181"/>
      <c r="J433" s="181"/>
      <c r="K433" s="181"/>
      <c r="L433" s="181"/>
      <c r="M433" s="181"/>
      <c r="N433" s="182"/>
      <c r="O433" s="190">
        <f t="shared" si="20"/>
        <v>100</v>
      </c>
      <c r="P433" s="190"/>
      <c r="Q433" s="190">
        <f t="shared" si="21"/>
        <v>100</v>
      </c>
    </row>
    <row r="434" spans="1:17" s="132" customFormat="1" ht="12.75">
      <c r="A434" s="185" t="s">
        <v>273</v>
      </c>
      <c r="B434" s="186" t="s">
        <v>537</v>
      </c>
      <c r="C434" s="187">
        <v>182.96899999999999</v>
      </c>
      <c r="D434" s="187"/>
      <c r="E434" s="207">
        <v>182.96899999999999</v>
      </c>
      <c r="F434" s="187">
        <f t="shared" si="19"/>
        <v>223</v>
      </c>
      <c r="G434" s="187"/>
      <c r="H434" s="189">
        <v>223</v>
      </c>
      <c r="I434" s="181"/>
      <c r="J434" s="181"/>
      <c r="K434" s="181"/>
      <c r="L434" s="181"/>
      <c r="M434" s="181"/>
      <c r="N434" s="182"/>
      <c r="O434" s="190">
        <f t="shared" si="20"/>
        <v>121.87856959375631</v>
      </c>
      <c r="P434" s="190"/>
      <c r="Q434" s="190">
        <f t="shared" si="21"/>
        <v>121.87856959375631</v>
      </c>
    </row>
    <row r="435" spans="1:17" s="132" customFormat="1" ht="25.5">
      <c r="A435" s="185" t="s">
        <v>273</v>
      </c>
      <c r="B435" s="186" t="s">
        <v>538</v>
      </c>
      <c r="C435" s="187">
        <v>6662.4430000000002</v>
      </c>
      <c r="D435" s="187"/>
      <c r="E435" s="207">
        <v>6662.4430000000002</v>
      </c>
      <c r="F435" s="187">
        <f t="shared" si="19"/>
        <v>6662.4430000000002</v>
      </c>
      <c r="G435" s="187"/>
      <c r="H435" s="189">
        <v>6662.4430000000002</v>
      </c>
      <c r="I435" s="181"/>
      <c r="J435" s="181"/>
      <c r="K435" s="181"/>
      <c r="L435" s="181"/>
      <c r="M435" s="181"/>
      <c r="N435" s="182"/>
      <c r="O435" s="190">
        <f t="shared" si="20"/>
        <v>100</v>
      </c>
      <c r="P435" s="190"/>
      <c r="Q435" s="190">
        <f t="shared" si="21"/>
        <v>100</v>
      </c>
    </row>
    <row r="436" spans="1:17" s="132" customFormat="1" ht="25.5">
      <c r="A436" s="185" t="s">
        <v>273</v>
      </c>
      <c r="B436" s="186" t="s">
        <v>534</v>
      </c>
      <c r="C436" s="187">
        <v>138.30000000000001</v>
      </c>
      <c r="D436" s="187"/>
      <c r="E436" s="207">
        <v>138.30000000000001</v>
      </c>
      <c r="F436" s="187">
        <f t="shared" si="19"/>
        <v>138.30000000000001</v>
      </c>
      <c r="G436" s="187"/>
      <c r="H436" s="189">
        <v>138.30000000000001</v>
      </c>
      <c r="I436" s="181"/>
      <c r="J436" s="181"/>
      <c r="K436" s="181"/>
      <c r="L436" s="181"/>
      <c r="M436" s="181"/>
      <c r="N436" s="182"/>
      <c r="O436" s="190">
        <f t="shared" si="20"/>
        <v>100</v>
      </c>
      <c r="P436" s="190"/>
      <c r="Q436" s="190">
        <f t="shared" si="21"/>
        <v>100</v>
      </c>
    </row>
    <row r="437" spans="1:17" s="132" customFormat="1" ht="25.5">
      <c r="A437" s="185" t="s">
        <v>273</v>
      </c>
      <c r="B437" s="186" t="s">
        <v>535</v>
      </c>
      <c r="C437" s="187">
        <v>435.99</v>
      </c>
      <c r="D437" s="187"/>
      <c r="E437" s="207">
        <v>435.99</v>
      </c>
      <c r="F437" s="187">
        <f t="shared" si="19"/>
        <v>435.99</v>
      </c>
      <c r="G437" s="187"/>
      <c r="H437" s="189">
        <v>435.99</v>
      </c>
      <c r="I437" s="181"/>
      <c r="J437" s="181"/>
      <c r="K437" s="181"/>
      <c r="L437" s="181"/>
      <c r="M437" s="181"/>
      <c r="N437" s="182"/>
      <c r="O437" s="190">
        <f t="shared" si="20"/>
        <v>100</v>
      </c>
      <c r="P437" s="190"/>
      <c r="Q437" s="190">
        <f t="shared" si="21"/>
        <v>100</v>
      </c>
    </row>
    <row r="438" spans="1:17" s="132" customFormat="1" ht="12.75">
      <c r="A438" s="185" t="s">
        <v>273</v>
      </c>
      <c r="B438" s="186" t="s">
        <v>539</v>
      </c>
      <c r="C438" s="187">
        <v>138.25</v>
      </c>
      <c r="D438" s="187"/>
      <c r="E438" s="207">
        <v>138.25</v>
      </c>
      <c r="F438" s="187">
        <f t="shared" si="19"/>
        <v>138.25</v>
      </c>
      <c r="G438" s="187"/>
      <c r="H438" s="189">
        <v>138.25</v>
      </c>
      <c r="I438" s="181"/>
      <c r="J438" s="181"/>
      <c r="K438" s="181"/>
      <c r="L438" s="181"/>
      <c r="M438" s="181"/>
      <c r="N438" s="182"/>
      <c r="O438" s="190">
        <f t="shared" si="20"/>
        <v>100</v>
      </c>
      <c r="P438" s="190"/>
      <c r="Q438" s="190">
        <f t="shared" si="21"/>
        <v>100</v>
      </c>
    </row>
    <row r="439" spans="1:17" s="132" customFormat="1" ht="12.75">
      <c r="A439" s="185" t="s">
        <v>273</v>
      </c>
      <c r="B439" s="186" t="s">
        <v>540</v>
      </c>
      <c r="C439" s="187">
        <v>66.314999999999998</v>
      </c>
      <c r="D439" s="187"/>
      <c r="E439" s="207">
        <v>66.314999999999998</v>
      </c>
      <c r="F439" s="187">
        <f t="shared" si="19"/>
        <v>66.314999999999998</v>
      </c>
      <c r="G439" s="187"/>
      <c r="H439" s="189">
        <v>66.314999999999998</v>
      </c>
      <c r="I439" s="181"/>
      <c r="J439" s="181"/>
      <c r="K439" s="181"/>
      <c r="L439" s="181"/>
      <c r="M439" s="181"/>
      <c r="N439" s="182"/>
      <c r="O439" s="190">
        <f t="shared" si="20"/>
        <v>100</v>
      </c>
      <c r="P439" s="190"/>
      <c r="Q439" s="190">
        <f t="shared" si="21"/>
        <v>100</v>
      </c>
    </row>
    <row r="440" spans="1:17" s="132" customFormat="1" ht="12.75">
      <c r="A440" s="185" t="s">
        <v>273</v>
      </c>
      <c r="B440" s="186" t="s">
        <v>541</v>
      </c>
      <c r="C440" s="187">
        <v>415</v>
      </c>
      <c r="D440" s="187"/>
      <c r="E440" s="207">
        <v>415</v>
      </c>
      <c r="F440" s="187">
        <f t="shared" si="19"/>
        <v>87</v>
      </c>
      <c r="G440" s="187"/>
      <c r="H440" s="189">
        <v>87</v>
      </c>
      <c r="I440" s="181"/>
      <c r="J440" s="181"/>
      <c r="K440" s="181"/>
      <c r="L440" s="181"/>
      <c r="M440" s="181"/>
      <c r="N440" s="182"/>
      <c r="O440" s="190">
        <f t="shared" si="20"/>
        <v>20.963855421686748</v>
      </c>
      <c r="P440" s="190"/>
      <c r="Q440" s="190">
        <f t="shared" si="21"/>
        <v>20.963855421686748</v>
      </c>
    </row>
    <row r="441" spans="1:17" s="132" customFormat="1" ht="25.5">
      <c r="A441" s="185" t="s">
        <v>273</v>
      </c>
      <c r="B441" s="186" t="s">
        <v>542</v>
      </c>
      <c r="C441" s="187">
        <v>108</v>
      </c>
      <c r="D441" s="187"/>
      <c r="E441" s="207">
        <v>108</v>
      </c>
      <c r="F441" s="187">
        <f t="shared" si="19"/>
        <v>108</v>
      </c>
      <c r="G441" s="187"/>
      <c r="H441" s="189">
        <v>108</v>
      </c>
      <c r="I441" s="181"/>
      <c r="J441" s="181"/>
      <c r="K441" s="181"/>
      <c r="L441" s="181"/>
      <c r="M441" s="181"/>
      <c r="N441" s="182"/>
      <c r="O441" s="190">
        <f t="shared" si="20"/>
        <v>100</v>
      </c>
      <c r="P441" s="190"/>
      <c r="Q441" s="190">
        <f t="shared" si="21"/>
        <v>100</v>
      </c>
    </row>
    <row r="442" spans="1:17" s="132" customFormat="1" ht="12.75">
      <c r="A442" s="185" t="s">
        <v>273</v>
      </c>
      <c r="B442" s="186" t="s">
        <v>284</v>
      </c>
      <c r="C442" s="187">
        <v>2954.9</v>
      </c>
      <c r="D442" s="187"/>
      <c r="E442" s="207">
        <v>2954.9</v>
      </c>
      <c r="F442" s="187">
        <f t="shared" si="19"/>
        <v>1953</v>
      </c>
      <c r="G442" s="187"/>
      <c r="H442" s="189">
        <v>1953</v>
      </c>
      <c r="I442" s="181"/>
      <c r="J442" s="181"/>
      <c r="K442" s="181"/>
      <c r="L442" s="181"/>
      <c r="M442" s="181"/>
      <c r="N442" s="182"/>
      <c r="O442" s="190">
        <f t="shared" si="20"/>
        <v>66.093607228671019</v>
      </c>
      <c r="P442" s="190"/>
      <c r="Q442" s="190">
        <f t="shared" si="21"/>
        <v>66.093607228671019</v>
      </c>
    </row>
    <row r="443" spans="1:17" s="132" customFormat="1" ht="12.75">
      <c r="A443" s="185" t="s">
        <v>273</v>
      </c>
      <c r="B443" s="186" t="s">
        <v>543</v>
      </c>
      <c r="C443" s="187">
        <v>156.12799999999999</v>
      </c>
      <c r="D443" s="187"/>
      <c r="E443" s="207">
        <v>156.12799999999999</v>
      </c>
      <c r="F443" s="187">
        <f t="shared" si="19"/>
        <v>126.12799999999999</v>
      </c>
      <c r="G443" s="187"/>
      <c r="H443" s="189">
        <f>53.668+72.46</f>
        <v>126.12799999999999</v>
      </c>
      <c r="I443" s="181"/>
      <c r="J443" s="181"/>
      <c r="K443" s="181"/>
      <c r="L443" s="181"/>
      <c r="M443" s="181"/>
      <c r="N443" s="182"/>
      <c r="O443" s="190">
        <f t="shared" si="20"/>
        <v>80.784996925599501</v>
      </c>
      <c r="P443" s="190"/>
      <c r="Q443" s="190">
        <f t="shared" si="21"/>
        <v>80.784996925599501</v>
      </c>
    </row>
    <row r="444" spans="1:17" s="132" customFormat="1" ht="12.75">
      <c r="A444" s="185" t="s">
        <v>273</v>
      </c>
      <c r="B444" s="186" t="s">
        <v>288</v>
      </c>
      <c r="C444" s="187">
        <v>190</v>
      </c>
      <c r="D444" s="187"/>
      <c r="E444" s="207">
        <v>190</v>
      </c>
      <c r="F444" s="187">
        <f t="shared" si="19"/>
        <v>190</v>
      </c>
      <c r="G444" s="187"/>
      <c r="H444" s="189">
        <v>190</v>
      </c>
      <c r="I444" s="181"/>
      <c r="J444" s="181"/>
      <c r="K444" s="181"/>
      <c r="L444" s="181"/>
      <c r="M444" s="181"/>
      <c r="N444" s="182"/>
      <c r="O444" s="190">
        <f t="shared" si="20"/>
        <v>100</v>
      </c>
      <c r="P444" s="190"/>
      <c r="Q444" s="190">
        <f t="shared" si="21"/>
        <v>100</v>
      </c>
    </row>
    <row r="445" spans="1:17" s="132" customFormat="1" ht="12.75">
      <c r="A445" s="185" t="s">
        <v>273</v>
      </c>
      <c r="B445" s="186" t="s">
        <v>177</v>
      </c>
      <c r="C445" s="187">
        <v>118</v>
      </c>
      <c r="D445" s="187"/>
      <c r="E445" s="207">
        <v>118</v>
      </c>
      <c r="F445" s="187">
        <f t="shared" si="19"/>
        <v>109.9</v>
      </c>
      <c r="G445" s="187"/>
      <c r="H445" s="189">
        <v>109.9</v>
      </c>
      <c r="I445" s="181"/>
      <c r="J445" s="181"/>
      <c r="K445" s="181"/>
      <c r="L445" s="181"/>
      <c r="M445" s="181"/>
      <c r="N445" s="182"/>
      <c r="O445" s="190">
        <f t="shared" si="20"/>
        <v>93.13559322033899</v>
      </c>
      <c r="P445" s="190"/>
      <c r="Q445" s="190">
        <f t="shared" si="21"/>
        <v>93.13559322033899</v>
      </c>
    </row>
    <row r="446" spans="1:17" s="132" customFormat="1" ht="12.75">
      <c r="A446" s="185" t="s">
        <v>273</v>
      </c>
      <c r="B446" s="186" t="s">
        <v>484</v>
      </c>
      <c r="C446" s="187">
        <v>142</v>
      </c>
      <c r="D446" s="187"/>
      <c r="E446" s="207">
        <v>142</v>
      </c>
      <c r="F446" s="187">
        <f t="shared" si="19"/>
        <v>142</v>
      </c>
      <c r="G446" s="187"/>
      <c r="H446" s="189">
        <v>142</v>
      </c>
      <c r="I446" s="181"/>
      <c r="J446" s="181"/>
      <c r="K446" s="181"/>
      <c r="L446" s="181"/>
      <c r="M446" s="181"/>
      <c r="N446" s="182"/>
      <c r="O446" s="190">
        <f t="shared" si="20"/>
        <v>100</v>
      </c>
      <c r="P446" s="190"/>
      <c r="Q446" s="190">
        <f t="shared" si="21"/>
        <v>100</v>
      </c>
    </row>
    <row r="447" spans="1:17" s="132" customFormat="1" ht="12.75">
      <c r="A447" s="185" t="s">
        <v>273</v>
      </c>
      <c r="B447" s="186" t="s">
        <v>485</v>
      </c>
      <c r="C447" s="187">
        <v>60</v>
      </c>
      <c r="D447" s="187"/>
      <c r="E447" s="207">
        <v>60</v>
      </c>
      <c r="F447" s="187">
        <f t="shared" si="19"/>
        <v>60</v>
      </c>
      <c r="G447" s="187"/>
      <c r="H447" s="189">
        <v>60</v>
      </c>
      <c r="I447" s="181"/>
      <c r="J447" s="181"/>
      <c r="K447" s="181"/>
      <c r="L447" s="181"/>
      <c r="M447" s="181"/>
      <c r="N447" s="182"/>
      <c r="O447" s="190">
        <f t="shared" si="20"/>
        <v>100</v>
      </c>
      <c r="P447" s="190"/>
      <c r="Q447" s="190">
        <f t="shared" si="21"/>
        <v>100</v>
      </c>
    </row>
    <row r="448" spans="1:17" s="132" customFormat="1" ht="12.75">
      <c r="A448" s="185" t="s">
        <v>273</v>
      </c>
      <c r="B448" s="186" t="s">
        <v>489</v>
      </c>
      <c r="C448" s="187">
        <v>50</v>
      </c>
      <c r="D448" s="187"/>
      <c r="E448" s="207">
        <v>50</v>
      </c>
      <c r="F448" s="187">
        <f t="shared" si="19"/>
        <v>50</v>
      </c>
      <c r="G448" s="187"/>
      <c r="H448" s="189">
        <v>50</v>
      </c>
      <c r="I448" s="181"/>
      <c r="J448" s="181"/>
      <c r="K448" s="181"/>
      <c r="L448" s="181"/>
      <c r="M448" s="181"/>
      <c r="N448" s="182"/>
      <c r="O448" s="190">
        <f t="shared" si="20"/>
        <v>100</v>
      </c>
      <c r="P448" s="190"/>
      <c r="Q448" s="190">
        <f t="shared" si="21"/>
        <v>100</v>
      </c>
    </row>
    <row r="449" spans="1:17" s="132" customFormat="1" ht="12.75">
      <c r="A449" s="185" t="s">
        <v>273</v>
      </c>
      <c r="B449" s="186" t="s">
        <v>487</v>
      </c>
      <c r="C449" s="187">
        <v>128</v>
      </c>
      <c r="D449" s="187"/>
      <c r="E449" s="207">
        <v>128</v>
      </c>
      <c r="F449" s="187">
        <f t="shared" si="19"/>
        <v>128</v>
      </c>
      <c r="G449" s="187"/>
      <c r="H449" s="189">
        <v>128</v>
      </c>
      <c r="I449" s="181"/>
      <c r="J449" s="181"/>
      <c r="K449" s="181"/>
      <c r="L449" s="181"/>
      <c r="M449" s="181"/>
      <c r="N449" s="182"/>
      <c r="O449" s="190">
        <f t="shared" si="20"/>
        <v>100</v>
      </c>
      <c r="P449" s="190"/>
      <c r="Q449" s="190">
        <f t="shared" si="21"/>
        <v>100</v>
      </c>
    </row>
    <row r="450" spans="1:17" s="132" customFormat="1" ht="12.75">
      <c r="A450" s="185" t="s">
        <v>273</v>
      </c>
      <c r="B450" s="186" t="s">
        <v>544</v>
      </c>
      <c r="C450" s="187">
        <v>134</v>
      </c>
      <c r="D450" s="187"/>
      <c r="E450" s="207">
        <v>134</v>
      </c>
      <c r="F450" s="187">
        <f t="shared" si="19"/>
        <v>134</v>
      </c>
      <c r="G450" s="187"/>
      <c r="H450" s="189">
        <v>134</v>
      </c>
      <c r="I450" s="181"/>
      <c r="J450" s="181"/>
      <c r="K450" s="181"/>
      <c r="L450" s="181"/>
      <c r="M450" s="181"/>
      <c r="N450" s="182"/>
      <c r="O450" s="190">
        <f t="shared" si="20"/>
        <v>100</v>
      </c>
      <c r="P450" s="190"/>
      <c r="Q450" s="190">
        <f t="shared" si="21"/>
        <v>100</v>
      </c>
    </row>
    <row r="451" spans="1:17" s="132" customFormat="1" ht="12.75">
      <c r="A451" s="185" t="s">
        <v>273</v>
      </c>
      <c r="B451" s="186" t="s">
        <v>545</v>
      </c>
      <c r="C451" s="187">
        <v>200</v>
      </c>
      <c r="D451" s="187"/>
      <c r="E451" s="207">
        <v>200</v>
      </c>
      <c r="F451" s="187">
        <f t="shared" si="19"/>
        <v>200</v>
      </c>
      <c r="G451" s="187"/>
      <c r="H451" s="189">
        <v>200</v>
      </c>
      <c r="I451" s="181"/>
      <c r="J451" s="181"/>
      <c r="K451" s="181"/>
      <c r="L451" s="181"/>
      <c r="M451" s="181"/>
      <c r="N451" s="182"/>
      <c r="O451" s="190">
        <f t="shared" si="20"/>
        <v>100</v>
      </c>
      <c r="P451" s="190"/>
      <c r="Q451" s="190">
        <f t="shared" si="21"/>
        <v>100</v>
      </c>
    </row>
    <row r="452" spans="1:17" s="132" customFormat="1" ht="12.75">
      <c r="A452" s="185" t="s">
        <v>273</v>
      </c>
      <c r="B452" s="186" t="s">
        <v>478</v>
      </c>
      <c r="C452" s="187">
        <v>295</v>
      </c>
      <c r="D452" s="187"/>
      <c r="E452" s="207">
        <v>295</v>
      </c>
      <c r="F452" s="187">
        <f t="shared" si="19"/>
        <v>295</v>
      </c>
      <c r="G452" s="187"/>
      <c r="H452" s="189">
        <v>295</v>
      </c>
      <c r="I452" s="181"/>
      <c r="J452" s="181"/>
      <c r="K452" s="181"/>
      <c r="L452" s="181"/>
      <c r="M452" s="181"/>
      <c r="N452" s="182"/>
      <c r="O452" s="190">
        <f t="shared" si="20"/>
        <v>100</v>
      </c>
      <c r="P452" s="190"/>
      <c r="Q452" s="190">
        <f t="shared" si="21"/>
        <v>100</v>
      </c>
    </row>
    <row r="453" spans="1:17" s="132" customFormat="1" ht="12.75">
      <c r="A453" s="185" t="s">
        <v>273</v>
      </c>
      <c r="B453" s="186" t="s">
        <v>546</v>
      </c>
      <c r="C453" s="179">
        <v>130</v>
      </c>
      <c r="D453" s="179"/>
      <c r="E453" s="207">
        <v>130</v>
      </c>
      <c r="F453" s="179">
        <f t="shared" si="19"/>
        <v>130</v>
      </c>
      <c r="G453" s="179"/>
      <c r="H453" s="189">
        <v>130</v>
      </c>
      <c r="I453" s="181"/>
      <c r="J453" s="181"/>
      <c r="K453" s="181"/>
      <c r="L453" s="181"/>
      <c r="M453" s="181"/>
      <c r="N453" s="182"/>
      <c r="O453" s="190">
        <f t="shared" si="20"/>
        <v>100</v>
      </c>
      <c r="P453" s="190"/>
      <c r="Q453" s="190">
        <f t="shared" si="21"/>
        <v>100</v>
      </c>
    </row>
    <row r="454" spans="1:17" s="132" customFormat="1" ht="12.75">
      <c r="A454" s="185" t="s">
        <v>273</v>
      </c>
      <c r="B454" s="186" t="s">
        <v>547</v>
      </c>
      <c r="C454" s="187">
        <v>30</v>
      </c>
      <c r="D454" s="187"/>
      <c r="E454" s="207">
        <v>30</v>
      </c>
      <c r="F454" s="187">
        <f t="shared" si="19"/>
        <v>30</v>
      </c>
      <c r="G454" s="187"/>
      <c r="H454" s="189">
        <v>30</v>
      </c>
      <c r="I454" s="181"/>
      <c r="J454" s="181"/>
      <c r="K454" s="181"/>
      <c r="L454" s="181"/>
      <c r="M454" s="181"/>
      <c r="N454" s="182"/>
      <c r="O454" s="190">
        <f t="shared" si="20"/>
        <v>100</v>
      </c>
      <c r="P454" s="190"/>
      <c r="Q454" s="190">
        <f t="shared" si="21"/>
        <v>100</v>
      </c>
    </row>
    <row r="455" spans="1:17" s="132" customFormat="1" ht="12.75">
      <c r="A455" s="185" t="s">
        <v>273</v>
      </c>
      <c r="B455" s="186" t="s">
        <v>548</v>
      </c>
      <c r="C455" s="187">
        <v>349.72500000000002</v>
      </c>
      <c r="D455" s="187"/>
      <c r="E455" s="207">
        <v>349.72500000000002</v>
      </c>
      <c r="F455" s="187">
        <f t="shared" si="19"/>
        <v>349.72500000000002</v>
      </c>
      <c r="G455" s="187"/>
      <c r="H455" s="189">
        <v>349.72500000000002</v>
      </c>
      <c r="I455" s="181"/>
      <c r="J455" s="181"/>
      <c r="K455" s="181"/>
      <c r="L455" s="181"/>
      <c r="M455" s="181"/>
      <c r="N455" s="182"/>
      <c r="O455" s="190">
        <f t="shared" si="20"/>
        <v>100</v>
      </c>
      <c r="P455" s="190"/>
      <c r="Q455" s="190">
        <f t="shared" si="21"/>
        <v>100</v>
      </c>
    </row>
    <row r="456" spans="1:17" s="132" customFormat="1" ht="12.75">
      <c r="A456" s="185" t="s">
        <v>273</v>
      </c>
      <c r="B456" s="186" t="s">
        <v>488</v>
      </c>
      <c r="C456" s="187">
        <v>439.27499999999998</v>
      </c>
      <c r="D456" s="187"/>
      <c r="E456" s="207">
        <v>439.27499999999998</v>
      </c>
      <c r="F456" s="187">
        <f t="shared" si="19"/>
        <v>439.27499999999998</v>
      </c>
      <c r="G456" s="187"/>
      <c r="H456" s="189">
        <f>279.275+160</f>
        <v>439.27499999999998</v>
      </c>
      <c r="I456" s="181"/>
      <c r="J456" s="181"/>
      <c r="K456" s="181"/>
      <c r="L456" s="181"/>
      <c r="M456" s="181"/>
      <c r="N456" s="182"/>
      <c r="O456" s="190">
        <f t="shared" si="20"/>
        <v>100</v>
      </c>
      <c r="P456" s="190"/>
      <c r="Q456" s="190">
        <f t="shared" si="21"/>
        <v>100</v>
      </c>
    </row>
    <row r="457" spans="1:17" s="132" customFormat="1" ht="12.75">
      <c r="A457" s="185" t="s">
        <v>273</v>
      </c>
      <c r="B457" s="186" t="s">
        <v>549</v>
      </c>
      <c r="C457" s="187">
        <v>45</v>
      </c>
      <c r="D457" s="187"/>
      <c r="E457" s="207">
        <v>45</v>
      </c>
      <c r="F457" s="187">
        <f t="shared" si="19"/>
        <v>45</v>
      </c>
      <c r="G457" s="187"/>
      <c r="H457" s="189">
        <v>45</v>
      </c>
      <c r="I457" s="181"/>
      <c r="J457" s="181"/>
      <c r="K457" s="181"/>
      <c r="L457" s="181"/>
      <c r="M457" s="181"/>
      <c r="N457" s="182"/>
      <c r="O457" s="190">
        <f t="shared" si="20"/>
        <v>100</v>
      </c>
      <c r="P457" s="190"/>
      <c r="Q457" s="190">
        <f t="shared" si="21"/>
        <v>100</v>
      </c>
    </row>
    <row r="458" spans="1:17" s="132" customFormat="1" ht="12.75">
      <c r="A458" s="185" t="s">
        <v>273</v>
      </c>
      <c r="B458" s="186" t="s">
        <v>550</v>
      </c>
      <c r="C458" s="187">
        <v>170</v>
      </c>
      <c r="D458" s="187"/>
      <c r="E458" s="207">
        <v>170</v>
      </c>
      <c r="F458" s="187">
        <f t="shared" ref="F458:F466" si="22">G458+H458+I458+J458+K458+N458</f>
        <v>170</v>
      </c>
      <c r="G458" s="187"/>
      <c r="H458" s="189">
        <v>170</v>
      </c>
      <c r="I458" s="181"/>
      <c r="J458" s="181"/>
      <c r="K458" s="181"/>
      <c r="L458" s="181"/>
      <c r="M458" s="181"/>
      <c r="N458" s="182"/>
      <c r="O458" s="190">
        <f t="shared" si="20"/>
        <v>100</v>
      </c>
      <c r="P458" s="190"/>
      <c r="Q458" s="190">
        <f t="shared" si="21"/>
        <v>100</v>
      </c>
    </row>
    <row r="459" spans="1:17" s="132" customFormat="1" ht="25.5">
      <c r="A459" s="185" t="s">
        <v>273</v>
      </c>
      <c r="B459" s="186" t="s">
        <v>551</v>
      </c>
      <c r="C459" s="187">
        <v>400</v>
      </c>
      <c r="D459" s="187"/>
      <c r="E459" s="207">
        <v>400</v>
      </c>
      <c r="F459" s="187">
        <f t="shared" si="22"/>
        <v>400</v>
      </c>
      <c r="G459" s="187"/>
      <c r="H459" s="189">
        <v>400</v>
      </c>
      <c r="I459" s="181"/>
      <c r="J459" s="181"/>
      <c r="K459" s="181"/>
      <c r="L459" s="181"/>
      <c r="M459" s="181"/>
      <c r="N459" s="182"/>
      <c r="O459" s="190">
        <f t="shared" si="20"/>
        <v>100</v>
      </c>
      <c r="P459" s="190"/>
      <c r="Q459" s="190">
        <f t="shared" si="21"/>
        <v>100</v>
      </c>
    </row>
    <row r="460" spans="1:17" s="132" customFormat="1" ht="25.5">
      <c r="A460" s="185" t="s">
        <v>273</v>
      </c>
      <c r="B460" s="186" t="s">
        <v>552</v>
      </c>
      <c r="C460" s="187">
        <v>561</v>
      </c>
      <c r="D460" s="187"/>
      <c r="E460" s="207">
        <v>561</v>
      </c>
      <c r="F460" s="187">
        <f t="shared" si="22"/>
        <v>561</v>
      </c>
      <c r="G460" s="187"/>
      <c r="H460" s="189">
        <v>561</v>
      </c>
      <c r="I460" s="181"/>
      <c r="J460" s="181"/>
      <c r="K460" s="181"/>
      <c r="L460" s="181"/>
      <c r="M460" s="181"/>
      <c r="N460" s="182"/>
      <c r="O460" s="190">
        <f t="shared" si="20"/>
        <v>100</v>
      </c>
      <c r="P460" s="190"/>
      <c r="Q460" s="190">
        <f t="shared" si="21"/>
        <v>100</v>
      </c>
    </row>
    <row r="461" spans="1:17" s="132" customFormat="1" ht="12.75">
      <c r="A461" s="185" t="s">
        <v>273</v>
      </c>
      <c r="B461" s="186" t="s">
        <v>276</v>
      </c>
      <c r="C461" s="187">
        <v>120</v>
      </c>
      <c r="D461" s="187"/>
      <c r="E461" s="207">
        <v>120</v>
      </c>
      <c r="F461" s="187">
        <f t="shared" si="22"/>
        <v>120</v>
      </c>
      <c r="G461" s="187"/>
      <c r="H461" s="189">
        <v>120</v>
      </c>
      <c r="I461" s="181"/>
      <c r="J461" s="181"/>
      <c r="K461" s="181"/>
      <c r="L461" s="181"/>
      <c r="M461" s="181"/>
      <c r="N461" s="182"/>
      <c r="O461" s="190">
        <f t="shared" ref="O461:P524" si="23">F461/C461*100</f>
        <v>100</v>
      </c>
      <c r="P461" s="190"/>
      <c r="Q461" s="190">
        <f t="shared" ref="Q461:Q502" si="24">H461/E461*100</f>
        <v>100</v>
      </c>
    </row>
    <row r="462" spans="1:17" s="132" customFormat="1" ht="12.75">
      <c r="A462" s="185" t="s">
        <v>273</v>
      </c>
      <c r="B462" s="186" t="s">
        <v>553</v>
      </c>
      <c r="C462" s="187">
        <v>198</v>
      </c>
      <c r="D462" s="187"/>
      <c r="E462" s="207">
        <v>198</v>
      </c>
      <c r="F462" s="187">
        <f t="shared" si="22"/>
        <v>17.5</v>
      </c>
      <c r="G462" s="187"/>
      <c r="H462" s="189">
        <v>17.5</v>
      </c>
      <c r="I462" s="181"/>
      <c r="J462" s="181"/>
      <c r="K462" s="181"/>
      <c r="L462" s="181"/>
      <c r="M462" s="181"/>
      <c r="N462" s="182"/>
      <c r="O462" s="190">
        <f t="shared" si="23"/>
        <v>8.8383838383838391</v>
      </c>
      <c r="P462" s="190"/>
      <c r="Q462" s="190">
        <f t="shared" si="24"/>
        <v>8.8383838383838391</v>
      </c>
    </row>
    <row r="463" spans="1:17" s="132" customFormat="1" ht="12.75">
      <c r="A463" s="185" t="s">
        <v>273</v>
      </c>
      <c r="B463" s="186" t="s">
        <v>554</v>
      </c>
      <c r="C463" s="187">
        <v>200</v>
      </c>
      <c r="D463" s="187"/>
      <c r="E463" s="207">
        <v>200</v>
      </c>
      <c r="F463" s="187">
        <f t="shared" si="22"/>
        <v>200</v>
      </c>
      <c r="G463" s="187"/>
      <c r="H463" s="189">
        <v>200</v>
      </c>
      <c r="I463" s="181"/>
      <c r="J463" s="181"/>
      <c r="K463" s="181"/>
      <c r="L463" s="181"/>
      <c r="M463" s="181"/>
      <c r="N463" s="182"/>
      <c r="O463" s="190">
        <f t="shared" si="23"/>
        <v>100</v>
      </c>
      <c r="P463" s="190"/>
      <c r="Q463" s="190">
        <f t="shared" si="24"/>
        <v>100</v>
      </c>
    </row>
    <row r="464" spans="1:17" s="132" customFormat="1" ht="12.75">
      <c r="A464" s="185" t="s">
        <v>273</v>
      </c>
      <c r="B464" s="186" t="s">
        <v>555</v>
      </c>
      <c r="C464" s="187">
        <v>0</v>
      </c>
      <c r="D464" s="187"/>
      <c r="E464" s="207"/>
      <c r="F464" s="187">
        <f t="shared" si="22"/>
        <v>478.98</v>
      </c>
      <c r="G464" s="187"/>
      <c r="H464" s="189">
        <f>SUM(H465:H467)</f>
        <v>478.98</v>
      </c>
      <c r="I464" s="181"/>
      <c r="J464" s="181"/>
      <c r="K464" s="181"/>
      <c r="L464" s="181"/>
      <c r="M464" s="181"/>
      <c r="N464" s="182"/>
      <c r="O464" s="190"/>
      <c r="P464" s="190"/>
      <c r="Q464" s="190"/>
    </row>
    <row r="465" spans="1:17" s="132" customFormat="1" ht="12.75">
      <c r="A465" s="203"/>
      <c r="B465" s="204" t="s">
        <v>465</v>
      </c>
      <c r="C465" s="187">
        <v>323</v>
      </c>
      <c r="D465" s="187"/>
      <c r="E465" s="209">
        <v>323</v>
      </c>
      <c r="F465" s="187">
        <f t="shared" si="22"/>
        <v>444</v>
      </c>
      <c r="G465" s="187"/>
      <c r="H465" s="205">
        <f>253+160+31</f>
        <v>444</v>
      </c>
      <c r="I465" s="181"/>
      <c r="J465" s="181"/>
      <c r="K465" s="181"/>
      <c r="L465" s="181"/>
      <c r="M465" s="181"/>
      <c r="N465" s="182"/>
      <c r="O465" s="190">
        <f t="shared" si="23"/>
        <v>137.46130030959753</v>
      </c>
      <c r="P465" s="190"/>
      <c r="Q465" s="190">
        <f t="shared" si="24"/>
        <v>137.46130030959753</v>
      </c>
    </row>
    <row r="466" spans="1:17" s="132" customFormat="1" ht="12.75">
      <c r="A466" s="203"/>
      <c r="B466" s="204" t="s">
        <v>556</v>
      </c>
      <c r="C466" s="187">
        <v>14</v>
      </c>
      <c r="D466" s="179"/>
      <c r="E466" s="209">
        <v>14</v>
      </c>
      <c r="F466" s="187">
        <f t="shared" si="22"/>
        <v>14</v>
      </c>
      <c r="G466" s="179"/>
      <c r="H466" s="205">
        <v>14</v>
      </c>
      <c r="I466" s="181"/>
      <c r="J466" s="181"/>
      <c r="K466" s="181"/>
      <c r="L466" s="181"/>
      <c r="M466" s="181"/>
      <c r="N466" s="182"/>
      <c r="O466" s="190">
        <f t="shared" si="23"/>
        <v>100</v>
      </c>
      <c r="P466" s="190"/>
      <c r="Q466" s="190">
        <f t="shared" si="24"/>
        <v>100</v>
      </c>
    </row>
    <row r="467" spans="1:17" s="132" customFormat="1" ht="12.75">
      <c r="A467" s="203"/>
      <c r="B467" s="204" t="s">
        <v>557</v>
      </c>
      <c r="C467" s="179">
        <f>D467+E467</f>
        <v>20.98</v>
      </c>
      <c r="D467" s="179"/>
      <c r="E467" s="209">
        <v>20.98</v>
      </c>
      <c r="F467" s="179"/>
      <c r="G467" s="179"/>
      <c r="H467" s="205">
        <v>20.98</v>
      </c>
      <c r="I467" s="181"/>
      <c r="J467" s="181"/>
      <c r="K467" s="181"/>
      <c r="L467" s="181"/>
      <c r="M467" s="181"/>
      <c r="N467" s="182"/>
      <c r="O467" s="190">
        <f t="shared" si="23"/>
        <v>0</v>
      </c>
      <c r="P467" s="190"/>
      <c r="Q467" s="190">
        <f t="shared" si="24"/>
        <v>100</v>
      </c>
    </row>
    <row r="468" spans="1:17" s="132" customFormat="1" ht="12.75">
      <c r="A468" s="185" t="s">
        <v>273</v>
      </c>
      <c r="B468" s="186" t="s">
        <v>558</v>
      </c>
      <c r="C468" s="179">
        <f t="shared" ref="C468:C500" si="25">D468+E468</f>
        <v>678.68</v>
      </c>
      <c r="D468" s="179"/>
      <c r="E468" s="207">
        <v>678.68</v>
      </c>
      <c r="F468" s="179"/>
      <c r="G468" s="179"/>
      <c r="H468" s="189">
        <v>678.68000000000006</v>
      </c>
      <c r="I468" s="181"/>
      <c r="J468" s="181"/>
      <c r="K468" s="181"/>
      <c r="L468" s="181"/>
      <c r="M468" s="181"/>
      <c r="N468" s="182"/>
      <c r="O468" s="190">
        <f t="shared" si="23"/>
        <v>0</v>
      </c>
      <c r="P468" s="190"/>
      <c r="Q468" s="190">
        <f t="shared" si="24"/>
        <v>100.00000000000003</v>
      </c>
    </row>
    <row r="469" spans="1:17" s="132" customFormat="1" ht="33.75" customHeight="1">
      <c r="A469" s="131">
        <v>15</v>
      </c>
      <c r="B469" s="183" t="s">
        <v>559</v>
      </c>
      <c r="C469" s="179">
        <f t="shared" si="25"/>
        <v>30018</v>
      </c>
      <c r="D469" s="179"/>
      <c r="E469" s="184">
        <v>30018</v>
      </c>
      <c r="F469" s="179">
        <f>G469+H469</f>
        <v>28022.965</v>
      </c>
      <c r="G469" s="179"/>
      <c r="H469" s="184">
        <f>SUM(H470:H480)</f>
        <v>28022.965</v>
      </c>
      <c r="I469" s="181"/>
      <c r="J469" s="181"/>
      <c r="K469" s="181"/>
      <c r="L469" s="181"/>
      <c r="M469" s="181"/>
      <c r="N469" s="182"/>
      <c r="O469" s="190">
        <f t="shared" si="23"/>
        <v>93.353871010726891</v>
      </c>
      <c r="P469" s="190"/>
      <c r="Q469" s="190">
        <f t="shared" si="24"/>
        <v>93.353871010726891</v>
      </c>
    </row>
    <row r="470" spans="1:17" s="132" customFormat="1" ht="12.75">
      <c r="A470" s="185" t="s">
        <v>36</v>
      </c>
      <c r="B470" s="195" t="s">
        <v>560</v>
      </c>
      <c r="C470" s="187">
        <f t="shared" si="25"/>
        <v>2939</v>
      </c>
      <c r="D470" s="179"/>
      <c r="E470" s="189">
        <v>2939</v>
      </c>
      <c r="F470" s="187">
        <f t="shared" ref="F470:F500" si="26">G470+H470</f>
        <v>2867.348</v>
      </c>
      <c r="G470" s="179"/>
      <c r="H470" s="189">
        <v>2867.348</v>
      </c>
      <c r="I470" s="181"/>
      <c r="J470" s="181"/>
      <c r="K470" s="181"/>
      <c r="L470" s="181"/>
      <c r="M470" s="181"/>
      <c r="N470" s="182"/>
      <c r="O470" s="190">
        <f t="shared" si="23"/>
        <v>97.56202790064647</v>
      </c>
      <c r="P470" s="190"/>
      <c r="Q470" s="190">
        <f t="shared" si="24"/>
        <v>97.56202790064647</v>
      </c>
    </row>
    <row r="471" spans="1:17" s="132" customFormat="1" ht="25.5">
      <c r="A471" s="185" t="s">
        <v>36</v>
      </c>
      <c r="B471" s="195" t="s">
        <v>561</v>
      </c>
      <c r="C471" s="187">
        <f t="shared" si="25"/>
        <v>1907</v>
      </c>
      <c r="D471" s="179"/>
      <c r="E471" s="189">
        <v>1907</v>
      </c>
      <c r="F471" s="187">
        <f t="shared" si="26"/>
        <v>1155</v>
      </c>
      <c r="G471" s="179"/>
      <c r="H471" s="189">
        <v>1155</v>
      </c>
      <c r="I471" s="181"/>
      <c r="J471" s="181"/>
      <c r="K471" s="181"/>
      <c r="L471" s="181"/>
      <c r="M471" s="181"/>
      <c r="N471" s="182"/>
      <c r="O471" s="190">
        <f t="shared" si="23"/>
        <v>60.566334556895654</v>
      </c>
      <c r="P471" s="190"/>
      <c r="Q471" s="190">
        <f t="shared" si="24"/>
        <v>60.566334556895654</v>
      </c>
    </row>
    <row r="472" spans="1:17" s="132" customFormat="1" ht="25.5">
      <c r="A472" s="185" t="s">
        <v>36</v>
      </c>
      <c r="B472" s="195" t="s">
        <v>562</v>
      </c>
      <c r="C472" s="187">
        <f t="shared" si="25"/>
        <v>2218</v>
      </c>
      <c r="D472" s="179"/>
      <c r="E472" s="189">
        <v>2218</v>
      </c>
      <c r="F472" s="187">
        <f t="shared" si="26"/>
        <v>2067.3560000000002</v>
      </c>
      <c r="G472" s="179"/>
      <c r="H472" s="189">
        <v>2067.3560000000002</v>
      </c>
      <c r="I472" s="181"/>
      <c r="J472" s="181"/>
      <c r="K472" s="181"/>
      <c r="L472" s="181"/>
      <c r="M472" s="181"/>
      <c r="N472" s="182"/>
      <c r="O472" s="190">
        <f t="shared" si="23"/>
        <v>93.208115419296675</v>
      </c>
      <c r="P472" s="190"/>
      <c r="Q472" s="190">
        <f t="shared" si="24"/>
        <v>93.208115419296675</v>
      </c>
    </row>
    <row r="473" spans="1:17" s="132" customFormat="1" ht="25.5">
      <c r="A473" s="185" t="s">
        <v>36</v>
      </c>
      <c r="B473" s="195" t="s">
        <v>563</v>
      </c>
      <c r="C473" s="187">
        <f t="shared" si="25"/>
        <v>3154</v>
      </c>
      <c r="D473" s="179"/>
      <c r="E473" s="189">
        <v>3154</v>
      </c>
      <c r="F473" s="187">
        <f t="shared" si="26"/>
        <v>3134</v>
      </c>
      <c r="G473" s="179"/>
      <c r="H473" s="189">
        <v>3134</v>
      </c>
      <c r="I473" s="181"/>
      <c r="J473" s="181"/>
      <c r="K473" s="181"/>
      <c r="L473" s="181"/>
      <c r="M473" s="181"/>
      <c r="N473" s="182"/>
      <c r="O473" s="190">
        <f t="shared" si="23"/>
        <v>99.365884590995563</v>
      </c>
      <c r="P473" s="190"/>
      <c r="Q473" s="190">
        <f t="shared" si="24"/>
        <v>99.365884590995563</v>
      </c>
    </row>
    <row r="474" spans="1:17" s="132" customFormat="1" ht="12.75">
      <c r="A474" s="185" t="s">
        <v>36</v>
      </c>
      <c r="B474" s="195" t="s">
        <v>564</v>
      </c>
      <c r="C474" s="187">
        <f t="shared" si="25"/>
        <v>383</v>
      </c>
      <c r="D474" s="179"/>
      <c r="E474" s="189">
        <v>383</v>
      </c>
      <c r="F474" s="187">
        <f t="shared" si="26"/>
        <v>372</v>
      </c>
      <c r="G474" s="179"/>
      <c r="H474" s="189">
        <v>372</v>
      </c>
      <c r="I474" s="181"/>
      <c r="J474" s="181"/>
      <c r="K474" s="181"/>
      <c r="L474" s="181"/>
      <c r="M474" s="181"/>
      <c r="N474" s="182"/>
      <c r="O474" s="190">
        <f t="shared" si="23"/>
        <v>97.127937336814625</v>
      </c>
      <c r="P474" s="190"/>
      <c r="Q474" s="190">
        <f t="shared" si="24"/>
        <v>97.127937336814625</v>
      </c>
    </row>
    <row r="475" spans="1:17" s="132" customFormat="1" ht="25.5">
      <c r="A475" s="185" t="s">
        <v>36</v>
      </c>
      <c r="B475" s="195" t="s">
        <v>565</v>
      </c>
      <c r="C475" s="187">
        <f t="shared" si="25"/>
        <v>11061</v>
      </c>
      <c r="D475" s="179"/>
      <c r="E475" s="189">
        <v>11061</v>
      </c>
      <c r="F475" s="187">
        <f t="shared" si="26"/>
        <v>10707.761</v>
      </c>
      <c r="G475" s="179"/>
      <c r="H475" s="189">
        <v>10707.761</v>
      </c>
      <c r="I475" s="181"/>
      <c r="J475" s="181"/>
      <c r="K475" s="181"/>
      <c r="L475" s="181"/>
      <c r="M475" s="181"/>
      <c r="N475" s="182"/>
      <c r="O475" s="190">
        <f t="shared" si="23"/>
        <v>96.806446071783753</v>
      </c>
      <c r="P475" s="190"/>
      <c r="Q475" s="190">
        <f t="shared" si="24"/>
        <v>96.806446071783753</v>
      </c>
    </row>
    <row r="476" spans="1:17" s="132" customFormat="1" ht="25.5">
      <c r="A476" s="185" t="s">
        <v>36</v>
      </c>
      <c r="B476" s="195" t="s">
        <v>566</v>
      </c>
      <c r="C476" s="187">
        <f t="shared" si="25"/>
        <v>1494</v>
      </c>
      <c r="D476" s="179"/>
      <c r="E476" s="189">
        <v>1494</v>
      </c>
      <c r="F476" s="187">
        <f t="shared" si="26"/>
        <v>1480</v>
      </c>
      <c r="G476" s="179"/>
      <c r="H476" s="189">
        <v>1480</v>
      </c>
      <c r="I476" s="181"/>
      <c r="J476" s="181"/>
      <c r="K476" s="181"/>
      <c r="L476" s="181"/>
      <c r="M476" s="181"/>
      <c r="N476" s="182"/>
      <c r="O476" s="190">
        <f t="shared" si="23"/>
        <v>99.062918340026769</v>
      </c>
      <c r="P476" s="190"/>
      <c r="Q476" s="190">
        <f t="shared" si="24"/>
        <v>99.062918340026769</v>
      </c>
    </row>
    <row r="477" spans="1:17" s="132" customFormat="1" ht="12.75">
      <c r="A477" s="185" t="s">
        <v>36</v>
      </c>
      <c r="B477" s="195" t="s">
        <v>567</v>
      </c>
      <c r="C477" s="187">
        <f t="shared" si="25"/>
        <v>1245</v>
      </c>
      <c r="D477" s="179"/>
      <c r="E477" s="189">
        <v>1245</v>
      </c>
      <c r="F477" s="187">
        <f t="shared" si="26"/>
        <v>1319</v>
      </c>
      <c r="G477" s="179"/>
      <c r="H477" s="189">
        <v>1319</v>
      </c>
      <c r="I477" s="181"/>
      <c r="J477" s="181"/>
      <c r="K477" s="181"/>
      <c r="L477" s="181"/>
      <c r="M477" s="181"/>
      <c r="N477" s="182"/>
      <c r="O477" s="190">
        <f t="shared" si="23"/>
        <v>105.94377510040161</v>
      </c>
      <c r="P477" s="190"/>
      <c r="Q477" s="190">
        <f t="shared" si="24"/>
        <v>105.94377510040161</v>
      </c>
    </row>
    <row r="478" spans="1:17" s="132" customFormat="1" ht="12.75">
      <c r="A478" s="185" t="s">
        <v>36</v>
      </c>
      <c r="B478" s="195" t="s">
        <v>568</v>
      </c>
      <c r="C478" s="187">
        <f t="shared" si="25"/>
        <v>1176</v>
      </c>
      <c r="D478" s="179"/>
      <c r="E478" s="189">
        <v>1176</v>
      </c>
      <c r="F478" s="187">
        <f t="shared" si="26"/>
        <v>1151</v>
      </c>
      <c r="G478" s="179"/>
      <c r="H478" s="189">
        <v>1151</v>
      </c>
      <c r="I478" s="181"/>
      <c r="J478" s="181"/>
      <c r="K478" s="181"/>
      <c r="L478" s="181"/>
      <c r="M478" s="181"/>
      <c r="N478" s="182"/>
      <c r="O478" s="190">
        <f t="shared" si="23"/>
        <v>97.874149659863946</v>
      </c>
      <c r="P478" s="190"/>
      <c r="Q478" s="190">
        <f t="shared" si="24"/>
        <v>97.874149659863946</v>
      </c>
    </row>
    <row r="479" spans="1:17" s="132" customFormat="1" ht="12.75">
      <c r="A479" s="185" t="s">
        <v>36</v>
      </c>
      <c r="B479" s="195" t="s">
        <v>569</v>
      </c>
      <c r="C479" s="187">
        <f t="shared" si="25"/>
        <v>725</v>
      </c>
      <c r="D479" s="179"/>
      <c r="E479" s="189">
        <v>725</v>
      </c>
      <c r="F479" s="187">
        <f t="shared" si="26"/>
        <v>719</v>
      </c>
      <c r="G479" s="179"/>
      <c r="H479" s="189">
        <v>719</v>
      </c>
      <c r="I479" s="181"/>
      <c r="J479" s="181"/>
      <c r="K479" s="181"/>
      <c r="L479" s="181"/>
      <c r="M479" s="181"/>
      <c r="N479" s="182"/>
      <c r="O479" s="190">
        <f t="shared" si="23"/>
        <v>99.172413793103459</v>
      </c>
      <c r="P479" s="190"/>
      <c r="Q479" s="190">
        <f t="shared" si="24"/>
        <v>99.172413793103459</v>
      </c>
    </row>
    <row r="480" spans="1:17" s="132" customFormat="1" ht="25.5">
      <c r="A480" s="185" t="s">
        <v>36</v>
      </c>
      <c r="B480" s="195" t="s">
        <v>570</v>
      </c>
      <c r="C480" s="187">
        <f t="shared" si="25"/>
        <v>3716</v>
      </c>
      <c r="D480" s="179"/>
      <c r="E480" s="189">
        <v>3716</v>
      </c>
      <c r="F480" s="187">
        <f t="shared" si="26"/>
        <v>3050.5</v>
      </c>
      <c r="G480" s="179"/>
      <c r="H480" s="189">
        <v>3050.5</v>
      </c>
      <c r="I480" s="181"/>
      <c r="J480" s="181"/>
      <c r="K480" s="181"/>
      <c r="L480" s="181"/>
      <c r="M480" s="181"/>
      <c r="N480" s="182"/>
      <c r="O480" s="190">
        <f t="shared" si="23"/>
        <v>82.090958019375677</v>
      </c>
      <c r="P480" s="190"/>
      <c r="Q480" s="190">
        <f t="shared" si="24"/>
        <v>82.090958019375677</v>
      </c>
    </row>
    <row r="481" spans="1:17" s="132" customFormat="1" ht="33.75" customHeight="1">
      <c r="A481" s="131">
        <v>16</v>
      </c>
      <c r="B481" s="194" t="s">
        <v>571</v>
      </c>
      <c r="C481" s="179">
        <f t="shared" si="25"/>
        <v>16872</v>
      </c>
      <c r="D481" s="179"/>
      <c r="E481" s="184">
        <v>16872</v>
      </c>
      <c r="F481" s="179">
        <f t="shared" si="26"/>
        <v>0</v>
      </c>
      <c r="G481" s="179"/>
      <c r="H481" s="184"/>
      <c r="I481" s="181"/>
      <c r="J481" s="181"/>
      <c r="K481" s="181"/>
      <c r="L481" s="181"/>
      <c r="M481" s="181"/>
      <c r="N481" s="182"/>
      <c r="O481" s="190">
        <f t="shared" si="23"/>
        <v>0</v>
      </c>
      <c r="P481" s="190"/>
      <c r="Q481" s="190">
        <f t="shared" si="24"/>
        <v>0</v>
      </c>
    </row>
    <row r="482" spans="1:17" s="132" customFormat="1" ht="33.75" customHeight="1">
      <c r="A482" s="131">
        <v>17</v>
      </c>
      <c r="B482" s="211" t="s">
        <v>572</v>
      </c>
      <c r="C482" s="179">
        <f t="shared" si="25"/>
        <v>0</v>
      </c>
      <c r="D482" s="179"/>
      <c r="E482" s="179"/>
      <c r="F482" s="179">
        <f t="shared" si="26"/>
        <v>40884</v>
      </c>
      <c r="G482" s="179"/>
      <c r="H482" s="184">
        <f>40000+884</f>
        <v>40884</v>
      </c>
      <c r="I482" s="181"/>
      <c r="J482" s="181"/>
      <c r="K482" s="181"/>
      <c r="L482" s="181"/>
      <c r="M482" s="181"/>
      <c r="N482" s="182"/>
      <c r="O482" s="190"/>
      <c r="P482" s="190"/>
      <c r="Q482" s="190"/>
    </row>
    <row r="483" spans="1:17" s="132" customFormat="1" ht="33.75" customHeight="1">
      <c r="A483" s="131">
        <v>18</v>
      </c>
      <c r="B483" s="211" t="s">
        <v>573</v>
      </c>
      <c r="C483" s="179">
        <f t="shared" si="25"/>
        <v>203.88900000000001</v>
      </c>
      <c r="D483" s="179"/>
      <c r="E483" s="184">
        <v>203.88900000000001</v>
      </c>
      <c r="F483" s="179">
        <f t="shared" si="26"/>
        <v>203.88900000000001</v>
      </c>
      <c r="G483" s="179"/>
      <c r="H483" s="184">
        <f>SUM(H484:H490)</f>
        <v>203.88900000000001</v>
      </c>
      <c r="I483" s="181"/>
      <c r="J483" s="181"/>
      <c r="K483" s="181"/>
      <c r="L483" s="181"/>
      <c r="M483" s="181"/>
      <c r="N483" s="182"/>
      <c r="O483" s="190">
        <f t="shared" si="23"/>
        <v>100</v>
      </c>
      <c r="P483" s="190"/>
      <c r="Q483" s="190">
        <f t="shared" si="24"/>
        <v>100</v>
      </c>
    </row>
    <row r="484" spans="1:17" s="132" customFormat="1" ht="25.5">
      <c r="A484" s="185" t="s">
        <v>36</v>
      </c>
      <c r="B484" s="212" t="s">
        <v>574</v>
      </c>
      <c r="C484" s="187">
        <f t="shared" si="25"/>
        <v>15</v>
      </c>
      <c r="D484" s="179"/>
      <c r="E484" s="187">
        <v>15</v>
      </c>
      <c r="F484" s="187">
        <f t="shared" si="26"/>
        <v>15</v>
      </c>
      <c r="G484" s="179"/>
      <c r="H484" s="189">
        <v>15</v>
      </c>
      <c r="I484" s="181"/>
      <c r="J484" s="181"/>
      <c r="K484" s="181"/>
      <c r="L484" s="181"/>
      <c r="M484" s="181"/>
      <c r="N484" s="182"/>
      <c r="O484" s="190">
        <f t="shared" si="23"/>
        <v>100</v>
      </c>
      <c r="P484" s="190"/>
      <c r="Q484" s="190">
        <f t="shared" si="24"/>
        <v>100</v>
      </c>
    </row>
    <row r="485" spans="1:17" s="132" customFormat="1" ht="25.5">
      <c r="A485" s="185" t="s">
        <v>36</v>
      </c>
      <c r="B485" s="212" t="s">
        <v>575</v>
      </c>
      <c r="C485" s="187">
        <f t="shared" si="25"/>
        <v>11.145</v>
      </c>
      <c r="D485" s="179"/>
      <c r="E485" s="187">
        <v>11.145</v>
      </c>
      <c r="F485" s="187">
        <f t="shared" si="26"/>
        <v>11.145</v>
      </c>
      <c r="G485" s="179"/>
      <c r="H485" s="189">
        <v>11.145</v>
      </c>
      <c r="I485" s="181"/>
      <c r="J485" s="181"/>
      <c r="K485" s="181"/>
      <c r="L485" s="181"/>
      <c r="M485" s="181"/>
      <c r="N485" s="182"/>
      <c r="O485" s="190">
        <f t="shared" si="23"/>
        <v>100</v>
      </c>
      <c r="P485" s="190"/>
      <c r="Q485" s="190">
        <f t="shared" si="24"/>
        <v>100</v>
      </c>
    </row>
    <row r="486" spans="1:17" s="132" customFormat="1" ht="38.25">
      <c r="A486" s="185" t="s">
        <v>36</v>
      </c>
      <c r="B486" s="212" t="s">
        <v>576</v>
      </c>
      <c r="C486" s="187">
        <f t="shared" si="25"/>
        <v>44.2</v>
      </c>
      <c r="D486" s="179"/>
      <c r="E486" s="187">
        <v>44.2</v>
      </c>
      <c r="F486" s="187">
        <f t="shared" si="26"/>
        <v>44.2</v>
      </c>
      <c r="G486" s="179"/>
      <c r="H486" s="189">
        <v>44.2</v>
      </c>
      <c r="I486" s="181"/>
      <c r="J486" s="181"/>
      <c r="K486" s="181"/>
      <c r="L486" s="181"/>
      <c r="M486" s="181"/>
      <c r="N486" s="182"/>
      <c r="O486" s="190">
        <f t="shared" si="23"/>
        <v>100</v>
      </c>
      <c r="P486" s="190"/>
      <c r="Q486" s="190">
        <f t="shared" si="24"/>
        <v>100</v>
      </c>
    </row>
    <row r="487" spans="1:17" s="132" customFormat="1" ht="25.5">
      <c r="A487" s="185" t="s">
        <v>36</v>
      </c>
      <c r="B487" s="212" t="s">
        <v>577</v>
      </c>
      <c r="C487" s="187">
        <f t="shared" si="25"/>
        <v>45.298000000000002</v>
      </c>
      <c r="D487" s="179"/>
      <c r="E487" s="187">
        <v>45.298000000000002</v>
      </c>
      <c r="F487" s="187">
        <f t="shared" si="26"/>
        <v>45.298000000000002</v>
      </c>
      <c r="G487" s="179"/>
      <c r="H487" s="189">
        <v>45.298000000000002</v>
      </c>
      <c r="I487" s="181"/>
      <c r="J487" s="181"/>
      <c r="K487" s="181"/>
      <c r="L487" s="181"/>
      <c r="M487" s="181"/>
      <c r="N487" s="182"/>
      <c r="O487" s="190">
        <f t="shared" si="23"/>
        <v>100</v>
      </c>
      <c r="P487" s="190"/>
      <c r="Q487" s="190">
        <f t="shared" si="24"/>
        <v>100</v>
      </c>
    </row>
    <row r="488" spans="1:17" s="132" customFormat="1" ht="25.5">
      <c r="A488" s="185" t="s">
        <v>36</v>
      </c>
      <c r="B488" s="212" t="s">
        <v>578</v>
      </c>
      <c r="C488" s="187">
        <f t="shared" si="25"/>
        <v>46.5</v>
      </c>
      <c r="D488" s="179"/>
      <c r="E488" s="187">
        <v>46.5</v>
      </c>
      <c r="F488" s="187">
        <f t="shared" si="26"/>
        <v>46.5</v>
      </c>
      <c r="G488" s="179"/>
      <c r="H488" s="189">
        <v>46.5</v>
      </c>
      <c r="I488" s="181"/>
      <c r="J488" s="181"/>
      <c r="K488" s="181"/>
      <c r="L488" s="181"/>
      <c r="M488" s="181"/>
      <c r="N488" s="182"/>
      <c r="O488" s="190">
        <f t="shared" si="23"/>
        <v>100</v>
      </c>
      <c r="P488" s="190"/>
      <c r="Q488" s="190">
        <f t="shared" si="24"/>
        <v>100</v>
      </c>
    </row>
    <row r="489" spans="1:17" s="132" customFormat="1" ht="12.75">
      <c r="A489" s="185" t="s">
        <v>36</v>
      </c>
      <c r="B489" s="212" t="s">
        <v>579</v>
      </c>
      <c r="C489" s="187">
        <f t="shared" si="25"/>
        <v>17.995999999999999</v>
      </c>
      <c r="D489" s="179"/>
      <c r="E489" s="187">
        <v>17.995999999999999</v>
      </c>
      <c r="F489" s="187">
        <f t="shared" si="26"/>
        <v>17.995999999999999</v>
      </c>
      <c r="G489" s="179"/>
      <c r="H489" s="189">
        <v>17.995999999999999</v>
      </c>
      <c r="I489" s="181"/>
      <c r="J489" s="181"/>
      <c r="K489" s="181"/>
      <c r="L489" s="181"/>
      <c r="M489" s="181"/>
      <c r="N489" s="182"/>
      <c r="O489" s="190">
        <f t="shared" si="23"/>
        <v>100</v>
      </c>
      <c r="P489" s="190"/>
      <c r="Q489" s="190">
        <f t="shared" si="24"/>
        <v>100</v>
      </c>
    </row>
    <row r="490" spans="1:17" s="132" customFormat="1" ht="25.5">
      <c r="A490" s="185" t="s">
        <v>36</v>
      </c>
      <c r="B490" s="212" t="s">
        <v>580</v>
      </c>
      <c r="C490" s="187">
        <f t="shared" si="25"/>
        <v>23.75</v>
      </c>
      <c r="D490" s="179"/>
      <c r="E490" s="187">
        <v>23.75</v>
      </c>
      <c r="F490" s="187">
        <f t="shared" si="26"/>
        <v>23.75</v>
      </c>
      <c r="G490" s="179"/>
      <c r="H490" s="189">
        <v>23.75</v>
      </c>
      <c r="I490" s="181"/>
      <c r="J490" s="181"/>
      <c r="K490" s="181"/>
      <c r="L490" s="181"/>
      <c r="M490" s="181"/>
      <c r="N490" s="182"/>
      <c r="O490" s="190">
        <f t="shared" si="23"/>
        <v>100</v>
      </c>
      <c r="P490" s="190"/>
      <c r="Q490" s="190">
        <f t="shared" si="24"/>
        <v>100</v>
      </c>
    </row>
    <row r="491" spans="1:17" s="132" customFormat="1" ht="33.75" customHeight="1">
      <c r="A491" s="131">
        <v>19</v>
      </c>
      <c r="B491" s="183" t="s">
        <v>159</v>
      </c>
      <c r="C491" s="179">
        <f t="shared" si="25"/>
        <v>0</v>
      </c>
      <c r="D491" s="179"/>
      <c r="E491" s="179"/>
      <c r="F491" s="179">
        <f t="shared" si="26"/>
        <v>47090.339</v>
      </c>
      <c r="G491" s="179"/>
      <c r="H491" s="180">
        <f>SUM(H492:H494)+H498+H499+H500</f>
        <v>47090.339</v>
      </c>
      <c r="I491" s="181"/>
      <c r="J491" s="181"/>
      <c r="K491" s="181"/>
      <c r="L491" s="181"/>
      <c r="M491" s="181"/>
      <c r="N491" s="182"/>
      <c r="O491" s="190" t="e">
        <f t="shared" si="23"/>
        <v>#DIV/0!</v>
      </c>
      <c r="P491" s="190"/>
      <c r="Q491" s="190" t="e">
        <f t="shared" si="24"/>
        <v>#DIV/0!</v>
      </c>
    </row>
    <row r="492" spans="1:17" s="132" customFormat="1" ht="33.75" customHeight="1">
      <c r="A492" s="185" t="s">
        <v>36</v>
      </c>
      <c r="B492" s="196" t="s">
        <v>581</v>
      </c>
      <c r="C492" s="187">
        <f t="shared" si="25"/>
        <v>149</v>
      </c>
      <c r="D492" s="179"/>
      <c r="E492" s="187">
        <v>149</v>
      </c>
      <c r="F492" s="187">
        <f t="shared" si="26"/>
        <v>149</v>
      </c>
      <c r="G492" s="179"/>
      <c r="H492" s="189">
        <v>149</v>
      </c>
      <c r="I492" s="181"/>
      <c r="J492" s="181"/>
      <c r="K492" s="181"/>
      <c r="L492" s="181"/>
      <c r="M492" s="181"/>
      <c r="N492" s="182"/>
      <c r="O492" s="190">
        <f t="shared" si="23"/>
        <v>100</v>
      </c>
      <c r="P492" s="190"/>
      <c r="Q492" s="190">
        <f t="shared" si="24"/>
        <v>100</v>
      </c>
    </row>
    <row r="493" spans="1:17" s="132" customFormat="1" ht="33.75" customHeight="1">
      <c r="A493" s="185" t="s">
        <v>36</v>
      </c>
      <c r="B493" s="195" t="s">
        <v>582</v>
      </c>
      <c r="C493" s="187">
        <f t="shared" si="25"/>
        <v>196</v>
      </c>
      <c r="D493" s="179"/>
      <c r="E493" s="187">
        <v>196</v>
      </c>
      <c r="F493" s="187">
        <f t="shared" si="26"/>
        <v>196</v>
      </c>
      <c r="G493" s="179"/>
      <c r="H493" s="189">
        <v>196</v>
      </c>
      <c r="I493" s="181"/>
      <c r="J493" s="181"/>
      <c r="K493" s="181"/>
      <c r="L493" s="181"/>
      <c r="M493" s="181"/>
      <c r="N493" s="182"/>
      <c r="O493" s="190">
        <f t="shared" si="23"/>
        <v>100</v>
      </c>
      <c r="P493" s="190"/>
      <c r="Q493" s="190">
        <f t="shared" si="24"/>
        <v>100</v>
      </c>
    </row>
    <row r="494" spans="1:17" s="132" customFormat="1" ht="33.75" customHeight="1">
      <c r="A494" s="185" t="s">
        <v>36</v>
      </c>
      <c r="B494" s="195" t="s">
        <v>583</v>
      </c>
      <c r="C494" s="187">
        <f t="shared" si="25"/>
        <v>7885</v>
      </c>
      <c r="D494" s="179"/>
      <c r="E494" s="187">
        <v>7885</v>
      </c>
      <c r="F494" s="187">
        <f t="shared" si="26"/>
        <v>7096.5</v>
      </c>
      <c r="G494" s="179"/>
      <c r="H494" s="189">
        <f>SUM(H495:H497)</f>
        <v>7096.5</v>
      </c>
      <c r="I494" s="181"/>
      <c r="J494" s="181"/>
      <c r="K494" s="181"/>
      <c r="L494" s="181"/>
      <c r="M494" s="181"/>
      <c r="N494" s="182"/>
      <c r="O494" s="190">
        <f t="shared" si="23"/>
        <v>90</v>
      </c>
      <c r="P494" s="190"/>
      <c r="Q494" s="190">
        <f t="shared" si="24"/>
        <v>90</v>
      </c>
    </row>
    <row r="495" spans="1:17" s="132" customFormat="1" ht="33.75" customHeight="1">
      <c r="A495" s="185"/>
      <c r="B495" s="195" t="s">
        <v>195</v>
      </c>
      <c r="C495" s="179">
        <f t="shared" si="25"/>
        <v>0</v>
      </c>
      <c r="D495" s="179"/>
      <c r="E495" s="179"/>
      <c r="F495" s="187">
        <f t="shared" si="26"/>
        <v>5519.5</v>
      </c>
      <c r="G495" s="179"/>
      <c r="H495" s="189">
        <v>5519.5</v>
      </c>
      <c r="I495" s="181"/>
      <c r="J495" s="181"/>
      <c r="K495" s="181"/>
      <c r="L495" s="181"/>
      <c r="M495" s="181"/>
      <c r="N495" s="182"/>
      <c r="O495" s="190"/>
      <c r="P495" s="190"/>
      <c r="Q495" s="190"/>
    </row>
    <row r="496" spans="1:17" s="132" customFormat="1" ht="33.75" customHeight="1">
      <c r="A496" s="185"/>
      <c r="B496" s="195" t="s">
        <v>461</v>
      </c>
      <c r="C496" s="179">
        <f t="shared" si="25"/>
        <v>0</v>
      </c>
      <c r="D496" s="179"/>
      <c r="E496" s="179"/>
      <c r="F496" s="187">
        <f t="shared" si="26"/>
        <v>630.79999999999995</v>
      </c>
      <c r="G496" s="179"/>
      <c r="H496" s="189">
        <v>630.79999999999995</v>
      </c>
      <c r="I496" s="181"/>
      <c r="J496" s="181"/>
      <c r="K496" s="181"/>
      <c r="L496" s="181"/>
      <c r="M496" s="181"/>
      <c r="N496" s="182"/>
      <c r="O496" s="190"/>
      <c r="P496" s="190"/>
      <c r="Q496" s="190"/>
    </row>
    <row r="497" spans="1:17" s="132" customFormat="1" ht="33.75" customHeight="1">
      <c r="A497" s="185"/>
      <c r="B497" s="195" t="s">
        <v>584</v>
      </c>
      <c r="C497" s="179">
        <f t="shared" si="25"/>
        <v>0</v>
      </c>
      <c r="D497" s="179"/>
      <c r="E497" s="179"/>
      <c r="F497" s="187">
        <f t="shared" si="26"/>
        <v>946.2</v>
      </c>
      <c r="G497" s="179"/>
      <c r="H497" s="189">
        <v>946.2</v>
      </c>
      <c r="I497" s="181"/>
      <c r="J497" s="181"/>
      <c r="K497" s="181"/>
      <c r="L497" s="181"/>
      <c r="M497" s="181"/>
      <c r="N497" s="182"/>
      <c r="O497" s="190"/>
      <c r="P497" s="190"/>
      <c r="Q497" s="190"/>
    </row>
    <row r="498" spans="1:17" s="132" customFormat="1" ht="33.75" customHeight="1">
      <c r="A498" s="185" t="s">
        <v>36</v>
      </c>
      <c r="B498" s="195" t="s">
        <v>585</v>
      </c>
      <c r="C498" s="187">
        <f t="shared" si="25"/>
        <v>38373</v>
      </c>
      <c r="D498" s="179"/>
      <c r="E498" s="187">
        <v>38373</v>
      </c>
      <c r="F498" s="187">
        <f t="shared" si="26"/>
        <v>34862.839</v>
      </c>
      <c r="G498" s="179"/>
      <c r="H498" s="189">
        <f>31726.8+3136.039</f>
        <v>34862.839</v>
      </c>
      <c r="I498" s="181"/>
      <c r="J498" s="181"/>
      <c r="K498" s="181"/>
      <c r="L498" s="181"/>
      <c r="M498" s="181"/>
      <c r="N498" s="182"/>
      <c r="O498" s="190">
        <f t="shared" si="23"/>
        <v>90.852523910040915</v>
      </c>
      <c r="P498" s="190"/>
      <c r="Q498" s="190">
        <f t="shared" si="24"/>
        <v>90.852523910040915</v>
      </c>
    </row>
    <row r="499" spans="1:17" s="132" customFormat="1" ht="33.75" customHeight="1">
      <c r="A499" s="185" t="s">
        <v>36</v>
      </c>
      <c r="B499" s="196" t="s">
        <v>586</v>
      </c>
      <c r="C499" s="179">
        <f t="shared" si="25"/>
        <v>0</v>
      </c>
      <c r="D499" s="179"/>
      <c r="E499" s="179"/>
      <c r="F499" s="187">
        <f t="shared" si="26"/>
        <v>25</v>
      </c>
      <c r="G499" s="179"/>
      <c r="H499" s="189">
        <v>25</v>
      </c>
      <c r="I499" s="181"/>
      <c r="J499" s="181"/>
      <c r="K499" s="181"/>
      <c r="L499" s="181"/>
      <c r="M499" s="181"/>
      <c r="N499" s="182"/>
      <c r="O499" s="190"/>
      <c r="P499" s="190"/>
      <c r="Q499" s="190"/>
    </row>
    <row r="500" spans="1:17" s="132" customFormat="1" ht="33.75" customHeight="1">
      <c r="A500" s="185" t="s">
        <v>36</v>
      </c>
      <c r="B500" s="196" t="s">
        <v>587</v>
      </c>
      <c r="C500" s="187">
        <f t="shared" si="25"/>
        <v>4800</v>
      </c>
      <c r="D500" s="179"/>
      <c r="E500" s="187">
        <v>4800</v>
      </c>
      <c r="F500" s="187">
        <f t="shared" si="26"/>
        <v>4761</v>
      </c>
      <c r="G500" s="179"/>
      <c r="H500" s="189">
        <v>4761</v>
      </c>
      <c r="I500" s="181"/>
      <c r="J500" s="181"/>
      <c r="K500" s="181"/>
      <c r="L500" s="181"/>
      <c r="M500" s="181"/>
      <c r="N500" s="182"/>
      <c r="O500" s="190">
        <f t="shared" si="23"/>
        <v>99.1875</v>
      </c>
      <c r="P500" s="190"/>
      <c r="Q500" s="190">
        <f t="shared" si="24"/>
        <v>99.1875</v>
      </c>
    </row>
    <row r="501" spans="1:17" s="132" customFormat="1" ht="33.75" customHeight="1">
      <c r="A501" s="197" t="s">
        <v>12</v>
      </c>
      <c r="B501" s="194" t="s">
        <v>588</v>
      </c>
      <c r="C501" s="179">
        <v>3700</v>
      </c>
      <c r="D501" s="179"/>
      <c r="E501" s="179">
        <v>3700</v>
      </c>
      <c r="F501" s="179">
        <f>G501+H501+I501+J501+K501+N501</f>
        <v>2305</v>
      </c>
      <c r="G501" s="179"/>
      <c r="H501" s="179">
        <v>2305</v>
      </c>
      <c r="I501" s="181"/>
      <c r="J501" s="181"/>
      <c r="K501" s="181"/>
      <c r="L501" s="181"/>
      <c r="M501" s="181"/>
      <c r="N501" s="182"/>
      <c r="O501" s="190">
        <f t="shared" si="23"/>
        <v>62.297297297297291</v>
      </c>
      <c r="P501" s="190"/>
      <c r="Q501" s="190">
        <f t="shared" si="24"/>
        <v>62.297297297297291</v>
      </c>
    </row>
    <row r="502" spans="1:17" s="132" customFormat="1" ht="33.75" customHeight="1">
      <c r="A502" s="193" t="s">
        <v>86</v>
      </c>
      <c r="B502" s="183" t="s">
        <v>20</v>
      </c>
      <c r="C502" s="179">
        <v>1300</v>
      </c>
      <c r="D502" s="179"/>
      <c r="E502" s="179">
        <v>1300</v>
      </c>
      <c r="F502" s="179">
        <f>G502+H502+I502+J502+K502+N502</f>
        <v>1300</v>
      </c>
      <c r="G502" s="179"/>
      <c r="H502" s="179">
        <v>1300</v>
      </c>
      <c r="I502" s="181"/>
      <c r="J502" s="181"/>
      <c r="K502" s="181"/>
      <c r="L502" s="181"/>
      <c r="M502" s="181"/>
      <c r="N502" s="182"/>
      <c r="O502" s="190">
        <f t="shared" si="23"/>
        <v>100</v>
      </c>
      <c r="P502" s="190"/>
      <c r="Q502" s="190">
        <f t="shared" si="24"/>
        <v>100</v>
      </c>
    </row>
    <row r="503" spans="1:17" s="132" customFormat="1" ht="33.75" customHeight="1">
      <c r="A503" s="193" t="s">
        <v>110</v>
      </c>
      <c r="B503" s="183" t="s">
        <v>21</v>
      </c>
      <c r="C503" s="179">
        <v>0</v>
      </c>
      <c r="D503" s="179"/>
      <c r="E503" s="179"/>
      <c r="F503" s="179">
        <f>G503+H503+I503+J503+K503+N503</f>
        <v>0</v>
      </c>
      <c r="G503" s="179"/>
      <c r="H503" s="179"/>
      <c r="I503" s="181"/>
      <c r="J503" s="181"/>
      <c r="K503" s="181"/>
      <c r="L503" s="181"/>
      <c r="M503" s="181"/>
      <c r="N503" s="182"/>
      <c r="O503" s="190"/>
      <c r="P503" s="190"/>
      <c r="Q503" s="190"/>
    </row>
    <row r="504" spans="1:17" s="132" customFormat="1" ht="33.75" customHeight="1">
      <c r="A504" s="193" t="s">
        <v>4</v>
      </c>
      <c r="B504" s="183" t="s">
        <v>97</v>
      </c>
      <c r="C504" s="213">
        <v>3032714.9996499997</v>
      </c>
      <c r="D504" s="213">
        <v>3032714.9996499997</v>
      </c>
      <c r="E504" s="213">
        <v>0</v>
      </c>
      <c r="F504" s="213">
        <f t="shared" ref="F504:H504" si="27">F505+F507+F512+F560+F564+F569+F574+F577+F595+F613+F641+F645+F651+F656+F660+F662+F674+F680+F683+F828</f>
        <v>2921042.6113249999</v>
      </c>
      <c r="G504" s="213">
        <f t="shared" si="27"/>
        <v>2921042.6113249999</v>
      </c>
      <c r="H504" s="213">
        <f t="shared" si="27"/>
        <v>0</v>
      </c>
      <c r="I504" s="181"/>
      <c r="J504" s="181"/>
      <c r="K504" s="181"/>
      <c r="L504" s="181"/>
      <c r="M504" s="181"/>
      <c r="N504" s="182"/>
      <c r="O504" s="190">
        <f t="shared" si="23"/>
        <v>96.317742078042684</v>
      </c>
      <c r="P504" s="190"/>
      <c r="Q504" s="190"/>
    </row>
    <row r="505" spans="1:17" s="132" customFormat="1" ht="33.75" customHeight="1">
      <c r="A505" s="202" t="s">
        <v>589</v>
      </c>
      <c r="B505" s="194" t="s">
        <v>590</v>
      </c>
      <c r="C505" s="213">
        <v>35.177999999999997</v>
      </c>
      <c r="D505" s="213">
        <v>35.177999999999997</v>
      </c>
      <c r="E505" s="213">
        <v>0</v>
      </c>
      <c r="F505" s="213">
        <f t="shared" ref="F505:F568" si="28">G505+L505</f>
        <v>35</v>
      </c>
      <c r="G505" s="213">
        <f>G506</f>
        <v>35</v>
      </c>
      <c r="H505" s="213">
        <f t="shared" ref="H505" si="29">H506</f>
        <v>0</v>
      </c>
      <c r="I505" s="181"/>
      <c r="J505" s="181"/>
      <c r="K505" s="181"/>
      <c r="L505" s="181"/>
      <c r="M505" s="181"/>
      <c r="N505" s="182"/>
      <c r="O505" s="190">
        <f t="shared" si="23"/>
        <v>99.49400193302634</v>
      </c>
      <c r="P505" s="190"/>
      <c r="Q505" s="190"/>
    </row>
    <row r="506" spans="1:17" s="132" customFormat="1" ht="25.5">
      <c r="A506" s="214"/>
      <c r="B506" s="195" t="s">
        <v>591</v>
      </c>
      <c r="C506" s="215">
        <v>35.177999999999997</v>
      </c>
      <c r="D506" s="215">
        <v>35.177999999999997</v>
      </c>
      <c r="E506" s="215"/>
      <c r="F506" s="215">
        <f t="shared" si="28"/>
        <v>35</v>
      </c>
      <c r="G506" s="215">
        <v>35</v>
      </c>
      <c r="H506" s="215"/>
      <c r="I506" s="181"/>
      <c r="J506" s="181"/>
      <c r="K506" s="181"/>
      <c r="L506" s="181"/>
      <c r="M506" s="181"/>
      <c r="N506" s="182"/>
      <c r="O506" s="190">
        <f t="shared" si="23"/>
        <v>99.49400193302634</v>
      </c>
      <c r="P506" s="190"/>
      <c r="Q506" s="190"/>
    </row>
    <row r="507" spans="1:17" s="132" customFormat="1" ht="33.75" customHeight="1">
      <c r="A507" s="202" t="s">
        <v>592</v>
      </c>
      <c r="B507" s="194" t="s">
        <v>593</v>
      </c>
      <c r="C507" s="213">
        <v>25295</v>
      </c>
      <c r="D507" s="213">
        <v>25295</v>
      </c>
      <c r="E507" s="213">
        <v>0</v>
      </c>
      <c r="F507" s="213">
        <f t="shared" si="28"/>
        <v>22351</v>
      </c>
      <c r="G507" s="213">
        <f>SUM(G508:G511)</f>
        <v>22351</v>
      </c>
      <c r="H507" s="213">
        <f t="shared" ref="H507" si="30">SUM(H508:H511)</f>
        <v>0</v>
      </c>
      <c r="I507" s="181"/>
      <c r="J507" s="181"/>
      <c r="K507" s="181"/>
      <c r="L507" s="181"/>
      <c r="M507" s="181"/>
      <c r="N507" s="182"/>
      <c r="O507" s="190">
        <f t="shared" si="23"/>
        <v>88.361336232457006</v>
      </c>
      <c r="P507" s="190"/>
      <c r="Q507" s="190"/>
    </row>
    <row r="508" spans="1:17" s="132" customFormat="1" ht="33.75" customHeight="1">
      <c r="A508" s="201"/>
      <c r="B508" s="195" t="s">
        <v>594</v>
      </c>
      <c r="C508" s="215">
        <v>7600</v>
      </c>
      <c r="D508" s="215">
        <v>7600</v>
      </c>
      <c r="E508" s="215"/>
      <c r="F508" s="215">
        <f t="shared" si="28"/>
        <v>7600</v>
      </c>
      <c r="G508" s="215">
        <v>7600</v>
      </c>
      <c r="H508" s="215"/>
      <c r="I508" s="181"/>
      <c r="J508" s="181"/>
      <c r="K508" s="181"/>
      <c r="L508" s="181"/>
      <c r="M508" s="181"/>
      <c r="N508" s="182"/>
      <c r="O508" s="190">
        <f t="shared" si="23"/>
        <v>100</v>
      </c>
      <c r="P508" s="190"/>
      <c r="Q508" s="190"/>
    </row>
    <row r="509" spans="1:17" s="132" customFormat="1" ht="33.75" customHeight="1">
      <c r="A509" s="201"/>
      <c r="B509" s="195" t="s">
        <v>595</v>
      </c>
      <c r="C509" s="215">
        <v>3695</v>
      </c>
      <c r="D509" s="215">
        <v>3695</v>
      </c>
      <c r="E509" s="215"/>
      <c r="F509" s="215">
        <f t="shared" si="28"/>
        <v>3695</v>
      </c>
      <c r="G509" s="215">
        <v>3695</v>
      </c>
      <c r="H509" s="215"/>
      <c r="I509" s="181"/>
      <c r="J509" s="181"/>
      <c r="K509" s="181"/>
      <c r="L509" s="181"/>
      <c r="M509" s="181"/>
      <c r="N509" s="182"/>
      <c r="O509" s="190">
        <f t="shared" si="23"/>
        <v>100</v>
      </c>
      <c r="P509" s="190"/>
      <c r="Q509" s="190"/>
    </row>
    <row r="510" spans="1:17" s="132" customFormat="1" ht="33.75" customHeight="1">
      <c r="A510" s="201"/>
      <c r="B510" s="195" t="s">
        <v>596</v>
      </c>
      <c r="C510" s="215">
        <v>11000</v>
      </c>
      <c r="D510" s="215">
        <v>11000</v>
      </c>
      <c r="E510" s="215"/>
      <c r="F510" s="215">
        <f t="shared" si="28"/>
        <v>10830</v>
      </c>
      <c r="G510" s="215">
        <v>10830</v>
      </c>
      <c r="H510" s="215"/>
      <c r="I510" s="181"/>
      <c r="J510" s="181"/>
      <c r="K510" s="181"/>
      <c r="L510" s="181"/>
      <c r="M510" s="181"/>
      <c r="N510" s="182"/>
      <c r="O510" s="190">
        <f t="shared" si="23"/>
        <v>98.454545454545453</v>
      </c>
      <c r="P510" s="190"/>
      <c r="Q510" s="190"/>
    </row>
    <row r="511" spans="1:17" s="132" customFormat="1" ht="33.75" customHeight="1">
      <c r="A511" s="201"/>
      <c r="B511" s="195" t="s">
        <v>597</v>
      </c>
      <c r="C511" s="215">
        <v>3000</v>
      </c>
      <c r="D511" s="215">
        <v>3000</v>
      </c>
      <c r="E511" s="215"/>
      <c r="F511" s="215">
        <f t="shared" si="28"/>
        <v>226</v>
      </c>
      <c r="G511" s="215">
        <v>226</v>
      </c>
      <c r="H511" s="215"/>
      <c r="I511" s="181"/>
      <c r="J511" s="181"/>
      <c r="K511" s="181"/>
      <c r="L511" s="181"/>
      <c r="M511" s="181"/>
      <c r="N511" s="182"/>
      <c r="O511" s="190">
        <f t="shared" si="23"/>
        <v>7.5333333333333332</v>
      </c>
      <c r="P511" s="190"/>
      <c r="Q511" s="190"/>
    </row>
    <row r="512" spans="1:17" s="132" customFormat="1" ht="33.75" customHeight="1">
      <c r="A512" s="193" t="s">
        <v>598</v>
      </c>
      <c r="B512" s="194" t="s">
        <v>510</v>
      </c>
      <c r="C512" s="213">
        <v>476857.91900000005</v>
      </c>
      <c r="D512" s="213">
        <v>476857.91900000005</v>
      </c>
      <c r="E512" s="213">
        <v>0</v>
      </c>
      <c r="F512" s="213">
        <f t="shared" si="28"/>
        <v>454711</v>
      </c>
      <c r="G512" s="213">
        <f t="shared" ref="G512:H512" si="31">SUM(G513:G559)</f>
        <v>454711</v>
      </c>
      <c r="H512" s="213">
        <f t="shared" si="31"/>
        <v>0</v>
      </c>
      <c r="I512" s="181"/>
      <c r="J512" s="181"/>
      <c r="K512" s="181"/>
      <c r="L512" s="181"/>
      <c r="M512" s="181"/>
      <c r="N512" s="182"/>
      <c r="O512" s="190">
        <f t="shared" si="23"/>
        <v>95.35565666049051</v>
      </c>
      <c r="P512" s="190"/>
      <c r="Q512" s="190"/>
    </row>
    <row r="513" spans="1:17" s="132" customFormat="1" ht="25.5">
      <c r="A513" s="201"/>
      <c r="B513" s="195" t="s">
        <v>599</v>
      </c>
      <c r="C513" s="215">
        <v>720.45399999999995</v>
      </c>
      <c r="D513" s="215">
        <v>720.45399999999995</v>
      </c>
      <c r="E513" s="215"/>
      <c r="F513" s="215">
        <f t="shared" si="28"/>
        <v>614</v>
      </c>
      <c r="G513" s="215">
        <v>614</v>
      </c>
      <c r="H513" s="215"/>
      <c r="I513" s="181"/>
      <c r="J513" s="181"/>
      <c r="K513" s="181"/>
      <c r="L513" s="181"/>
      <c r="M513" s="181"/>
      <c r="N513" s="182"/>
      <c r="O513" s="190">
        <f t="shared" si="23"/>
        <v>85.224039286338893</v>
      </c>
      <c r="P513" s="190"/>
      <c r="Q513" s="190"/>
    </row>
    <row r="514" spans="1:17" s="132" customFormat="1" ht="38.25">
      <c r="A514" s="201"/>
      <c r="B514" s="195" t="s">
        <v>600</v>
      </c>
      <c r="C514" s="215">
        <v>0</v>
      </c>
      <c r="D514" s="215">
        <v>0</v>
      </c>
      <c r="E514" s="215"/>
      <c r="F514" s="215">
        <f t="shared" si="28"/>
        <v>200</v>
      </c>
      <c r="G514" s="215">
        <v>200</v>
      </c>
      <c r="H514" s="215"/>
      <c r="I514" s="181"/>
      <c r="J514" s="181"/>
      <c r="K514" s="181"/>
      <c r="L514" s="181"/>
      <c r="M514" s="181"/>
      <c r="N514" s="182"/>
      <c r="O514" s="190"/>
      <c r="P514" s="190"/>
      <c r="Q514" s="190"/>
    </row>
    <row r="515" spans="1:17" s="132" customFormat="1" ht="38.25">
      <c r="A515" s="201"/>
      <c r="B515" s="195" t="s">
        <v>601</v>
      </c>
      <c r="C515" s="215">
        <v>5099</v>
      </c>
      <c r="D515" s="215">
        <v>5099</v>
      </c>
      <c r="E515" s="215"/>
      <c r="F515" s="215">
        <f t="shared" si="28"/>
        <v>5099</v>
      </c>
      <c r="G515" s="215">
        <v>5099</v>
      </c>
      <c r="H515" s="215"/>
      <c r="I515" s="181"/>
      <c r="J515" s="181"/>
      <c r="K515" s="181"/>
      <c r="L515" s="181"/>
      <c r="M515" s="181"/>
      <c r="N515" s="182"/>
      <c r="O515" s="190">
        <f t="shared" si="23"/>
        <v>100</v>
      </c>
      <c r="P515" s="190"/>
      <c r="Q515" s="190"/>
    </row>
    <row r="516" spans="1:17" s="132" customFormat="1" ht="25.5">
      <c r="A516" s="201"/>
      <c r="B516" s="195" t="s">
        <v>602</v>
      </c>
      <c r="C516" s="215">
        <v>981.7</v>
      </c>
      <c r="D516" s="215">
        <v>981.7</v>
      </c>
      <c r="E516" s="215"/>
      <c r="F516" s="215">
        <f t="shared" si="28"/>
        <v>1153</v>
      </c>
      <c r="G516" s="215">
        <v>1153</v>
      </c>
      <c r="H516" s="215"/>
      <c r="I516" s="181"/>
      <c r="J516" s="181"/>
      <c r="K516" s="181"/>
      <c r="L516" s="181"/>
      <c r="M516" s="181"/>
      <c r="N516" s="182"/>
      <c r="O516" s="190">
        <f t="shared" si="23"/>
        <v>117.44932260364673</v>
      </c>
      <c r="P516" s="190"/>
      <c r="Q516" s="190"/>
    </row>
    <row r="517" spans="1:17" s="132" customFormat="1" ht="38.25">
      <c r="A517" s="201"/>
      <c r="B517" s="195" t="s">
        <v>603</v>
      </c>
      <c r="C517" s="215">
        <v>0</v>
      </c>
      <c r="D517" s="215">
        <v>0</v>
      </c>
      <c r="E517" s="215"/>
      <c r="F517" s="215">
        <f t="shared" si="28"/>
        <v>2250</v>
      </c>
      <c r="G517" s="215">
        <v>2250</v>
      </c>
      <c r="H517" s="215"/>
      <c r="I517" s="181"/>
      <c r="J517" s="181"/>
      <c r="K517" s="181"/>
      <c r="L517" s="181"/>
      <c r="M517" s="181"/>
      <c r="N517" s="182"/>
      <c r="O517" s="190"/>
      <c r="P517" s="190"/>
      <c r="Q517" s="190"/>
    </row>
    <row r="518" spans="1:17" s="132" customFormat="1" ht="25.5">
      <c r="A518" s="201"/>
      <c r="B518" s="195" t="s">
        <v>604</v>
      </c>
      <c r="C518" s="215">
        <v>0</v>
      </c>
      <c r="D518" s="215">
        <v>0</v>
      </c>
      <c r="E518" s="215"/>
      <c r="F518" s="215">
        <f t="shared" si="28"/>
        <v>776</v>
      </c>
      <c r="G518" s="215">
        <v>776</v>
      </c>
      <c r="H518" s="215"/>
      <c r="I518" s="181"/>
      <c r="J518" s="181"/>
      <c r="K518" s="181"/>
      <c r="L518" s="181"/>
      <c r="M518" s="181"/>
      <c r="N518" s="182"/>
      <c r="O518" s="190"/>
      <c r="P518" s="190"/>
      <c r="Q518" s="190"/>
    </row>
    <row r="519" spans="1:17" s="132" customFormat="1" ht="51">
      <c r="A519" s="201"/>
      <c r="B519" s="195" t="s">
        <v>605</v>
      </c>
      <c r="C519" s="215">
        <v>3000</v>
      </c>
      <c r="D519" s="215">
        <v>3000</v>
      </c>
      <c r="E519" s="215"/>
      <c r="F519" s="215">
        <f t="shared" si="28"/>
        <v>3084</v>
      </c>
      <c r="G519" s="215">
        <v>3084</v>
      </c>
      <c r="H519" s="215"/>
      <c r="I519" s="181"/>
      <c r="J519" s="181"/>
      <c r="K519" s="181"/>
      <c r="L519" s="181"/>
      <c r="M519" s="181"/>
      <c r="N519" s="182"/>
      <c r="O519" s="190">
        <f t="shared" si="23"/>
        <v>102.8</v>
      </c>
      <c r="P519" s="190">
        <f t="shared" si="23"/>
        <v>102.8</v>
      </c>
      <c r="Q519" s="190"/>
    </row>
    <row r="520" spans="1:17" s="132" customFormat="1" ht="25.5">
      <c r="A520" s="201"/>
      <c r="B520" s="195" t="s">
        <v>606</v>
      </c>
      <c r="C520" s="215">
        <v>17633.053</v>
      </c>
      <c r="D520" s="215">
        <v>17633.053</v>
      </c>
      <c r="E520" s="215"/>
      <c r="F520" s="215">
        <f t="shared" si="28"/>
        <v>17633</v>
      </c>
      <c r="G520" s="215">
        <v>17633</v>
      </c>
      <c r="H520" s="215"/>
      <c r="I520" s="181"/>
      <c r="J520" s="181"/>
      <c r="K520" s="181"/>
      <c r="L520" s="181"/>
      <c r="M520" s="181"/>
      <c r="N520" s="182"/>
      <c r="O520" s="190">
        <f t="shared" si="23"/>
        <v>99.999699428113786</v>
      </c>
      <c r="P520" s="190">
        <f t="shared" si="23"/>
        <v>99.999699428113786</v>
      </c>
      <c r="Q520" s="190"/>
    </row>
    <row r="521" spans="1:17" s="132" customFormat="1" ht="25.5">
      <c r="A521" s="201"/>
      <c r="B521" s="195" t="s">
        <v>607</v>
      </c>
      <c r="C521" s="215">
        <v>2700</v>
      </c>
      <c r="D521" s="215">
        <v>2700</v>
      </c>
      <c r="E521" s="215"/>
      <c r="F521" s="215">
        <f t="shared" si="28"/>
        <v>2700</v>
      </c>
      <c r="G521" s="215">
        <v>2700</v>
      </c>
      <c r="H521" s="215"/>
      <c r="I521" s="181"/>
      <c r="J521" s="181"/>
      <c r="K521" s="181"/>
      <c r="L521" s="181"/>
      <c r="M521" s="181"/>
      <c r="N521" s="182"/>
      <c r="O521" s="190">
        <f t="shared" si="23"/>
        <v>100</v>
      </c>
      <c r="P521" s="190">
        <f t="shared" si="23"/>
        <v>100</v>
      </c>
      <c r="Q521" s="190"/>
    </row>
    <row r="522" spans="1:17" s="132" customFormat="1" ht="38.25">
      <c r="A522" s="201"/>
      <c r="B522" s="195" t="s">
        <v>608</v>
      </c>
      <c r="C522" s="215">
        <v>60</v>
      </c>
      <c r="D522" s="215">
        <v>60</v>
      </c>
      <c r="E522" s="215"/>
      <c r="F522" s="215">
        <f t="shared" si="28"/>
        <v>60</v>
      </c>
      <c r="G522" s="215">
        <v>60</v>
      </c>
      <c r="H522" s="215"/>
      <c r="I522" s="181"/>
      <c r="J522" s="181"/>
      <c r="K522" s="181"/>
      <c r="L522" s="181"/>
      <c r="M522" s="181"/>
      <c r="N522" s="182"/>
      <c r="O522" s="190">
        <f t="shared" si="23"/>
        <v>100</v>
      </c>
      <c r="P522" s="190">
        <f t="shared" si="23"/>
        <v>100</v>
      </c>
      <c r="Q522" s="190"/>
    </row>
    <row r="523" spans="1:17" s="132" customFormat="1" ht="25.5">
      <c r="A523" s="201"/>
      <c r="B523" s="195" t="s">
        <v>609</v>
      </c>
      <c r="C523" s="215">
        <v>3655.076</v>
      </c>
      <c r="D523" s="215">
        <v>3655.076</v>
      </c>
      <c r="E523" s="215"/>
      <c r="F523" s="215">
        <f t="shared" si="28"/>
        <v>3655</v>
      </c>
      <c r="G523" s="215">
        <v>3655</v>
      </c>
      <c r="H523" s="215"/>
      <c r="I523" s="181"/>
      <c r="J523" s="181"/>
      <c r="K523" s="181"/>
      <c r="L523" s="181"/>
      <c r="M523" s="181"/>
      <c r="N523" s="182"/>
      <c r="O523" s="190">
        <f t="shared" si="23"/>
        <v>99.997920699870534</v>
      </c>
      <c r="P523" s="190">
        <f t="shared" si="23"/>
        <v>99.997920699870534</v>
      </c>
      <c r="Q523" s="190"/>
    </row>
    <row r="524" spans="1:17" s="132" customFormat="1" ht="38.25">
      <c r="A524" s="201"/>
      <c r="B524" s="195" t="s">
        <v>610</v>
      </c>
      <c r="C524" s="215">
        <v>581</v>
      </c>
      <c r="D524" s="215">
        <v>581</v>
      </c>
      <c r="E524" s="215"/>
      <c r="F524" s="215">
        <f t="shared" si="28"/>
        <v>576</v>
      </c>
      <c r="G524" s="215">
        <v>576</v>
      </c>
      <c r="H524" s="215"/>
      <c r="I524" s="181"/>
      <c r="J524" s="181"/>
      <c r="K524" s="181"/>
      <c r="L524" s="181"/>
      <c r="M524" s="181"/>
      <c r="N524" s="182"/>
      <c r="O524" s="190">
        <f t="shared" si="23"/>
        <v>99.139414802065403</v>
      </c>
      <c r="P524" s="190">
        <f t="shared" si="23"/>
        <v>99.139414802065403</v>
      </c>
      <c r="Q524" s="190"/>
    </row>
    <row r="525" spans="1:17" s="132" customFormat="1" ht="25.5">
      <c r="A525" s="201"/>
      <c r="B525" s="195" t="s">
        <v>611</v>
      </c>
      <c r="C525" s="215">
        <v>10088</v>
      </c>
      <c r="D525" s="215">
        <v>10088</v>
      </c>
      <c r="E525" s="215"/>
      <c r="F525" s="215">
        <f t="shared" si="28"/>
        <v>10088</v>
      </c>
      <c r="G525" s="215">
        <v>10088</v>
      </c>
      <c r="H525" s="215"/>
      <c r="I525" s="181"/>
      <c r="J525" s="181"/>
      <c r="K525" s="181"/>
      <c r="L525" s="181"/>
      <c r="M525" s="181"/>
      <c r="N525" s="182"/>
      <c r="O525" s="190">
        <f t="shared" ref="O525:P587" si="32">F525/C525*100</f>
        <v>100</v>
      </c>
      <c r="P525" s="190">
        <f t="shared" si="32"/>
        <v>100</v>
      </c>
      <c r="Q525" s="190"/>
    </row>
    <row r="526" spans="1:17" s="132" customFormat="1" ht="12.75">
      <c r="A526" s="201"/>
      <c r="B526" s="195" t="s">
        <v>612</v>
      </c>
      <c r="C526" s="215">
        <v>63324</v>
      </c>
      <c r="D526" s="215">
        <v>63324</v>
      </c>
      <c r="E526" s="215"/>
      <c r="F526" s="215">
        <f t="shared" si="28"/>
        <v>63286</v>
      </c>
      <c r="G526" s="215">
        <v>63286</v>
      </c>
      <c r="H526" s="215"/>
      <c r="I526" s="181"/>
      <c r="J526" s="181"/>
      <c r="K526" s="181"/>
      <c r="L526" s="181"/>
      <c r="M526" s="181"/>
      <c r="N526" s="182"/>
      <c r="O526" s="190">
        <f t="shared" si="32"/>
        <v>99.939991156591503</v>
      </c>
      <c r="P526" s="190">
        <f t="shared" si="32"/>
        <v>99.939991156591503</v>
      </c>
      <c r="Q526" s="190"/>
    </row>
    <row r="527" spans="1:17" s="132" customFormat="1" ht="25.5">
      <c r="A527" s="201"/>
      <c r="B527" s="195" t="s">
        <v>613</v>
      </c>
      <c r="C527" s="215">
        <v>200</v>
      </c>
      <c r="D527" s="215">
        <v>200</v>
      </c>
      <c r="E527" s="215"/>
      <c r="F527" s="215">
        <f t="shared" si="28"/>
        <v>200</v>
      </c>
      <c r="G527" s="215">
        <v>200</v>
      </c>
      <c r="H527" s="215"/>
      <c r="I527" s="181"/>
      <c r="J527" s="181"/>
      <c r="K527" s="181"/>
      <c r="L527" s="181"/>
      <c r="M527" s="181"/>
      <c r="N527" s="182"/>
      <c r="O527" s="190">
        <f t="shared" si="32"/>
        <v>100</v>
      </c>
      <c r="P527" s="190">
        <f t="shared" si="32"/>
        <v>100</v>
      </c>
      <c r="Q527" s="190"/>
    </row>
    <row r="528" spans="1:17" s="132" customFormat="1" ht="25.5">
      <c r="A528" s="201"/>
      <c r="B528" s="195" t="s">
        <v>614</v>
      </c>
      <c r="C528" s="215">
        <v>162</v>
      </c>
      <c r="D528" s="215">
        <v>162</v>
      </c>
      <c r="E528" s="215"/>
      <c r="F528" s="215">
        <f t="shared" si="28"/>
        <v>161</v>
      </c>
      <c r="G528" s="215">
        <v>161</v>
      </c>
      <c r="H528" s="215"/>
      <c r="I528" s="181"/>
      <c r="J528" s="181"/>
      <c r="K528" s="181"/>
      <c r="L528" s="181"/>
      <c r="M528" s="181"/>
      <c r="N528" s="182"/>
      <c r="O528" s="190">
        <f t="shared" si="32"/>
        <v>99.382716049382708</v>
      </c>
      <c r="P528" s="190">
        <f t="shared" si="32"/>
        <v>99.382716049382708</v>
      </c>
      <c r="Q528" s="190"/>
    </row>
    <row r="529" spans="1:17" s="132" customFormat="1" ht="25.5">
      <c r="A529" s="201"/>
      <c r="B529" s="195" t="s">
        <v>615</v>
      </c>
      <c r="C529" s="215">
        <v>459</v>
      </c>
      <c r="D529" s="215">
        <v>459</v>
      </c>
      <c r="E529" s="215"/>
      <c r="F529" s="215">
        <f t="shared" si="28"/>
        <v>456</v>
      </c>
      <c r="G529" s="215">
        <v>456</v>
      </c>
      <c r="H529" s="215"/>
      <c r="I529" s="181"/>
      <c r="J529" s="181"/>
      <c r="K529" s="181"/>
      <c r="L529" s="181"/>
      <c r="M529" s="181"/>
      <c r="N529" s="182"/>
      <c r="O529" s="190">
        <f t="shared" si="32"/>
        <v>99.346405228758172</v>
      </c>
      <c r="P529" s="190">
        <f t="shared" si="32"/>
        <v>99.346405228758172</v>
      </c>
      <c r="Q529" s="190"/>
    </row>
    <row r="530" spans="1:17" s="132" customFormat="1" ht="25.5">
      <c r="A530" s="201"/>
      <c r="B530" s="195" t="s">
        <v>616</v>
      </c>
      <c r="C530" s="215">
        <v>2095.1999999999998</v>
      </c>
      <c r="D530" s="215">
        <v>2095.1999999999998</v>
      </c>
      <c r="E530" s="215"/>
      <c r="F530" s="215">
        <f t="shared" si="28"/>
        <v>2084</v>
      </c>
      <c r="G530" s="215">
        <v>2084</v>
      </c>
      <c r="H530" s="215"/>
      <c r="I530" s="181"/>
      <c r="J530" s="181"/>
      <c r="K530" s="181"/>
      <c r="L530" s="181"/>
      <c r="M530" s="181"/>
      <c r="N530" s="182"/>
      <c r="O530" s="190">
        <f t="shared" si="32"/>
        <v>99.465444826269575</v>
      </c>
      <c r="P530" s="190">
        <f t="shared" si="32"/>
        <v>99.465444826269575</v>
      </c>
      <c r="Q530" s="190"/>
    </row>
    <row r="531" spans="1:17" s="132" customFormat="1" ht="25.5">
      <c r="A531" s="201"/>
      <c r="B531" s="195" t="s">
        <v>617</v>
      </c>
      <c r="C531" s="215">
        <v>1508.5</v>
      </c>
      <c r="D531" s="215">
        <v>1508.5</v>
      </c>
      <c r="E531" s="215"/>
      <c r="F531" s="215">
        <f t="shared" si="28"/>
        <v>1506</v>
      </c>
      <c r="G531" s="215">
        <v>1506</v>
      </c>
      <c r="H531" s="215"/>
      <c r="I531" s="181"/>
      <c r="J531" s="181"/>
      <c r="K531" s="181"/>
      <c r="L531" s="181"/>
      <c r="M531" s="181"/>
      <c r="N531" s="182"/>
      <c r="O531" s="190">
        <f t="shared" si="32"/>
        <v>99.834272456082189</v>
      </c>
      <c r="P531" s="190">
        <f t="shared" si="32"/>
        <v>99.834272456082189</v>
      </c>
      <c r="Q531" s="190"/>
    </row>
    <row r="532" spans="1:17" s="132" customFormat="1" ht="25.5">
      <c r="A532" s="201"/>
      <c r="B532" s="195" t="s">
        <v>618</v>
      </c>
      <c r="C532" s="215">
        <v>1420.33</v>
      </c>
      <c r="D532" s="215">
        <v>1420.33</v>
      </c>
      <c r="E532" s="215"/>
      <c r="F532" s="215">
        <f t="shared" si="28"/>
        <v>1405</v>
      </c>
      <c r="G532" s="215">
        <v>1405</v>
      </c>
      <c r="H532" s="215"/>
      <c r="I532" s="181"/>
      <c r="J532" s="181"/>
      <c r="K532" s="181"/>
      <c r="L532" s="181"/>
      <c r="M532" s="181"/>
      <c r="N532" s="182"/>
      <c r="O532" s="190">
        <f t="shared" si="32"/>
        <v>98.920673364640621</v>
      </c>
      <c r="P532" s="190">
        <f t="shared" si="32"/>
        <v>98.920673364640621</v>
      </c>
      <c r="Q532" s="190"/>
    </row>
    <row r="533" spans="1:17" s="132" customFormat="1" ht="25.5">
      <c r="A533" s="201"/>
      <c r="B533" s="195" t="s">
        <v>619</v>
      </c>
      <c r="C533" s="215">
        <v>378</v>
      </c>
      <c r="D533" s="215">
        <v>378</v>
      </c>
      <c r="E533" s="215"/>
      <c r="F533" s="215">
        <f t="shared" si="28"/>
        <v>378</v>
      </c>
      <c r="G533" s="215">
        <v>378</v>
      </c>
      <c r="H533" s="215"/>
      <c r="I533" s="181"/>
      <c r="J533" s="181"/>
      <c r="K533" s="181"/>
      <c r="L533" s="181"/>
      <c r="M533" s="181"/>
      <c r="N533" s="182"/>
      <c r="O533" s="190">
        <f t="shared" si="32"/>
        <v>100</v>
      </c>
      <c r="P533" s="190">
        <f t="shared" si="32"/>
        <v>100</v>
      </c>
      <c r="Q533" s="190"/>
    </row>
    <row r="534" spans="1:17" s="132" customFormat="1" ht="38.25">
      <c r="A534" s="201"/>
      <c r="B534" s="195" t="s">
        <v>620</v>
      </c>
      <c r="C534" s="215">
        <v>17.640999999999998</v>
      </c>
      <c r="D534" s="215">
        <v>17.640999999999998</v>
      </c>
      <c r="E534" s="215"/>
      <c r="F534" s="215">
        <f t="shared" si="28"/>
        <v>18</v>
      </c>
      <c r="G534" s="215">
        <v>18</v>
      </c>
      <c r="H534" s="215"/>
      <c r="I534" s="181"/>
      <c r="J534" s="181"/>
      <c r="K534" s="181"/>
      <c r="L534" s="181"/>
      <c r="M534" s="181"/>
      <c r="N534" s="182"/>
      <c r="O534" s="190">
        <f t="shared" si="32"/>
        <v>102.03503202766284</v>
      </c>
      <c r="P534" s="190">
        <f t="shared" si="32"/>
        <v>102.03503202766284</v>
      </c>
      <c r="Q534" s="190"/>
    </row>
    <row r="535" spans="1:17" s="132" customFormat="1" ht="25.5">
      <c r="A535" s="201"/>
      <c r="B535" s="195" t="s">
        <v>621</v>
      </c>
      <c r="C535" s="215">
        <v>1116.355</v>
      </c>
      <c r="D535" s="215">
        <v>1116.355</v>
      </c>
      <c r="E535" s="215"/>
      <c r="F535" s="215">
        <f t="shared" si="28"/>
        <v>1101</v>
      </c>
      <c r="G535" s="215">
        <v>1101</v>
      </c>
      <c r="H535" s="215"/>
      <c r="I535" s="181"/>
      <c r="J535" s="181"/>
      <c r="K535" s="181"/>
      <c r="L535" s="181"/>
      <c r="M535" s="181"/>
      <c r="N535" s="182"/>
      <c r="O535" s="190">
        <f t="shared" si="32"/>
        <v>98.624541476501648</v>
      </c>
      <c r="P535" s="190">
        <f t="shared" si="32"/>
        <v>98.624541476501648</v>
      </c>
      <c r="Q535" s="190"/>
    </row>
    <row r="536" spans="1:17" s="132" customFormat="1" ht="25.5">
      <c r="A536" s="201"/>
      <c r="B536" s="195" t="s">
        <v>622</v>
      </c>
      <c r="C536" s="215">
        <v>1712.4</v>
      </c>
      <c r="D536" s="215">
        <v>1712.4</v>
      </c>
      <c r="E536" s="215"/>
      <c r="F536" s="215">
        <f t="shared" si="28"/>
        <v>1703</v>
      </c>
      <c r="G536" s="215">
        <v>1703</v>
      </c>
      <c r="H536" s="215"/>
      <c r="I536" s="181"/>
      <c r="J536" s="181"/>
      <c r="K536" s="181"/>
      <c r="L536" s="181"/>
      <c r="M536" s="181"/>
      <c r="N536" s="182"/>
      <c r="O536" s="190">
        <f t="shared" si="32"/>
        <v>99.451062835786033</v>
      </c>
      <c r="P536" s="190">
        <f t="shared" si="32"/>
        <v>99.451062835786033</v>
      </c>
      <c r="Q536" s="190"/>
    </row>
    <row r="537" spans="1:17" s="132" customFormat="1" ht="25.5">
      <c r="A537" s="201"/>
      <c r="B537" s="195" t="s">
        <v>623</v>
      </c>
      <c r="C537" s="215">
        <v>1914.8</v>
      </c>
      <c r="D537" s="215">
        <v>1914.8</v>
      </c>
      <c r="E537" s="215"/>
      <c r="F537" s="215">
        <f t="shared" si="28"/>
        <v>1905</v>
      </c>
      <c r="G537" s="215">
        <v>1905</v>
      </c>
      <c r="H537" s="215"/>
      <c r="I537" s="181"/>
      <c r="J537" s="181"/>
      <c r="K537" s="181"/>
      <c r="L537" s="181"/>
      <c r="M537" s="181"/>
      <c r="N537" s="182"/>
      <c r="O537" s="190">
        <f t="shared" si="32"/>
        <v>99.48819720075204</v>
      </c>
      <c r="P537" s="190">
        <f t="shared" si="32"/>
        <v>99.48819720075204</v>
      </c>
      <c r="Q537" s="190"/>
    </row>
    <row r="538" spans="1:17" s="132" customFormat="1" ht="25.5">
      <c r="A538" s="201"/>
      <c r="B538" s="195" t="s">
        <v>624</v>
      </c>
      <c r="C538" s="215">
        <v>38.54</v>
      </c>
      <c r="D538" s="215">
        <v>38.54</v>
      </c>
      <c r="E538" s="215"/>
      <c r="F538" s="215">
        <f t="shared" si="28"/>
        <v>39</v>
      </c>
      <c r="G538" s="215">
        <v>39</v>
      </c>
      <c r="H538" s="215"/>
      <c r="I538" s="181"/>
      <c r="J538" s="181"/>
      <c r="K538" s="181"/>
      <c r="L538" s="181"/>
      <c r="M538" s="181"/>
      <c r="N538" s="182"/>
      <c r="O538" s="190">
        <f t="shared" si="32"/>
        <v>101.19356512714064</v>
      </c>
      <c r="P538" s="190">
        <f t="shared" si="32"/>
        <v>101.19356512714064</v>
      </c>
      <c r="Q538" s="190"/>
    </row>
    <row r="539" spans="1:17" s="132" customFormat="1" ht="38.25">
      <c r="A539" s="201"/>
      <c r="B539" s="195" t="s">
        <v>625</v>
      </c>
      <c r="C539" s="215">
        <v>282</v>
      </c>
      <c r="D539" s="215">
        <v>282</v>
      </c>
      <c r="E539" s="215"/>
      <c r="F539" s="215">
        <f t="shared" si="28"/>
        <v>279</v>
      </c>
      <c r="G539" s="215">
        <v>279</v>
      </c>
      <c r="H539" s="215"/>
      <c r="I539" s="181"/>
      <c r="J539" s="181"/>
      <c r="K539" s="181"/>
      <c r="L539" s="181"/>
      <c r="M539" s="181"/>
      <c r="N539" s="182"/>
      <c r="O539" s="190">
        <f t="shared" si="32"/>
        <v>98.936170212765958</v>
      </c>
      <c r="P539" s="190">
        <f t="shared" si="32"/>
        <v>98.936170212765958</v>
      </c>
      <c r="Q539" s="190"/>
    </row>
    <row r="540" spans="1:17" s="132" customFormat="1" ht="25.5">
      <c r="A540" s="201"/>
      <c r="B540" s="195" t="s">
        <v>626</v>
      </c>
      <c r="C540" s="215">
        <v>4100</v>
      </c>
      <c r="D540" s="215">
        <v>4100</v>
      </c>
      <c r="E540" s="215"/>
      <c r="F540" s="215">
        <f t="shared" si="28"/>
        <v>4042</v>
      </c>
      <c r="G540" s="215">
        <v>4042</v>
      </c>
      <c r="H540" s="215"/>
      <c r="I540" s="181"/>
      <c r="J540" s="181"/>
      <c r="K540" s="181"/>
      <c r="L540" s="181"/>
      <c r="M540" s="181"/>
      <c r="N540" s="182"/>
      <c r="O540" s="190">
        <f t="shared" si="32"/>
        <v>98.58536585365853</v>
      </c>
      <c r="P540" s="190">
        <f t="shared" si="32"/>
        <v>98.58536585365853</v>
      </c>
      <c r="Q540" s="190"/>
    </row>
    <row r="541" spans="1:17" s="132" customFormat="1" ht="25.5">
      <c r="A541" s="201"/>
      <c r="B541" s="195" t="s">
        <v>627</v>
      </c>
      <c r="C541" s="215">
        <v>15100</v>
      </c>
      <c r="D541" s="215">
        <v>15100</v>
      </c>
      <c r="E541" s="215"/>
      <c r="F541" s="215">
        <f t="shared" si="28"/>
        <v>14956</v>
      </c>
      <c r="G541" s="215">
        <v>14956</v>
      </c>
      <c r="H541" s="215"/>
      <c r="I541" s="181"/>
      <c r="J541" s="181"/>
      <c r="K541" s="181"/>
      <c r="L541" s="181"/>
      <c r="M541" s="181"/>
      <c r="N541" s="182"/>
      <c r="O541" s="190">
        <f t="shared" si="32"/>
        <v>99.046357615894038</v>
      </c>
      <c r="P541" s="190">
        <f t="shared" si="32"/>
        <v>99.046357615894038</v>
      </c>
      <c r="Q541" s="190"/>
    </row>
    <row r="542" spans="1:17" s="132" customFormat="1" ht="25.5">
      <c r="A542" s="201"/>
      <c r="B542" s="195" t="s">
        <v>628</v>
      </c>
      <c r="C542" s="215">
        <v>3207.98</v>
      </c>
      <c r="D542" s="215">
        <v>3207.98</v>
      </c>
      <c r="E542" s="215"/>
      <c r="F542" s="215">
        <f t="shared" si="28"/>
        <v>3168</v>
      </c>
      <c r="G542" s="215">
        <v>3168</v>
      </c>
      <c r="H542" s="215"/>
      <c r="I542" s="181"/>
      <c r="J542" s="181"/>
      <c r="K542" s="181"/>
      <c r="L542" s="181"/>
      <c r="M542" s="181"/>
      <c r="N542" s="182"/>
      <c r="O542" s="190">
        <f t="shared" si="32"/>
        <v>98.753732878633897</v>
      </c>
      <c r="P542" s="190">
        <f t="shared" si="32"/>
        <v>98.753732878633897</v>
      </c>
      <c r="Q542" s="190"/>
    </row>
    <row r="543" spans="1:17" s="132" customFormat="1" ht="25.5">
      <c r="A543" s="201"/>
      <c r="B543" s="195" t="s">
        <v>629</v>
      </c>
      <c r="C543" s="215">
        <v>16770</v>
      </c>
      <c r="D543" s="215">
        <v>16770</v>
      </c>
      <c r="E543" s="215"/>
      <c r="F543" s="215">
        <f t="shared" si="28"/>
        <v>20128</v>
      </c>
      <c r="G543" s="215">
        <v>20128</v>
      </c>
      <c r="H543" s="215"/>
      <c r="I543" s="181"/>
      <c r="J543" s="181"/>
      <c r="K543" s="181"/>
      <c r="L543" s="181"/>
      <c r="M543" s="181"/>
      <c r="N543" s="182"/>
      <c r="O543" s="190">
        <f t="shared" si="32"/>
        <v>120.02385211687536</v>
      </c>
      <c r="P543" s="190">
        <f t="shared" si="32"/>
        <v>120.02385211687536</v>
      </c>
      <c r="Q543" s="190"/>
    </row>
    <row r="544" spans="1:17" s="132" customFormat="1" ht="25.5">
      <c r="A544" s="201"/>
      <c r="B544" s="195" t="s">
        <v>630</v>
      </c>
      <c r="C544" s="215">
        <v>26700</v>
      </c>
      <c r="D544" s="215">
        <v>26700</v>
      </c>
      <c r="E544" s="215"/>
      <c r="F544" s="215">
        <f t="shared" si="28"/>
        <v>26700</v>
      </c>
      <c r="G544" s="215">
        <v>26700</v>
      </c>
      <c r="H544" s="215"/>
      <c r="I544" s="181"/>
      <c r="J544" s="181"/>
      <c r="K544" s="181"/>
      <c r="L544" s="181"/>
      <c r="M544" s="181"/>
      <c r="N544" s="182"/>
      <c r="O544" s="190">
        <f t="shared" si="32"/>
        <v>100</v>
      </c>
      <c r="P544" s="190">
        <f t="shared" si="32"/>
        <v>100</v>
      </c>
      <c r="Q544" s="190"/>
    </row>
    <row r="545" spans="1:17" s="132" customFormat="1" ht="25.5">
      <c r="A545" s="201"/>
      <c r="B545" s="195" t="s">
        <v>631</v>
      </c>
      <c r="C545" s="215">
        <v>31045</v>
      </c>
      <c r="D545" s="215">
        <v>31045</v>
      </c>
      <c r="E545" s="215"/>
      <c r="F545" s="215">
        <f t="shared" si="28"/>
        <v>33396</v>
      </c>
      <c r="G545" s="215">
        <v>33396</v>
      </c>
      <c r="H545" s="215"/>
      <c r="I545" s="181"/>
      <c r="J545" s="181"/>
      <c r="K545" s="181"/>
      <c r="L545" s="181"/>
      <c r="M545" s="181"/>
      <c r="N545" s="182"/>
      <c r="O545" s="190">
        <f t="shared" si="32"/>
        <v>107.57287808020615</v>
      </c>
      <c r="P545" s="190">
        <f t="shared" si="32"/>
        <v>107.57287808020615</v>
      </c>
      <c r="Q545" s="190"/>
    </row>
    <row r="546" spans="1:17" s="132" customFormat="1" ht="25.5">
      <c r="A546" s="201"/>
      <c r="B546" s="195" t="s">
        <v>632</v>
      </c>
      <c r="C546" s="215">
        <v>24000</v>
      </c>
      <c r="D546" s="215">
        <v>24000</v>
      </c>
      <c r="E546" s="215"/>
      <c r="F546" s="215">
        <f t="shared" si="28"/>
        <v>24361</v>
      </c>
      <c r="G546" s="215">
        <v>24361</v>
      </c>
      <c r="H546" s="215"/>
      <c r="I546" s="181"/>
      <c r="J546" s="181"/>
      <c r="K546" s="181"/>
      <c r="L546" s="181"/>
      <c r="M546" s="181"/>
      <c r="N546" s="182"/>
      <c r="O546" s="190">
        <f t="shared" si="32"/>
        <v>101.50416666666666</v>
      </c>
      <c r="P546" s="190">
        <f t="shared" si="32"/>
        <v>101.50416666666666</v>
      </c>
      <c r="Q546" s="190"/>
    </row>
    <row r="547" spans="1:17" s="132" customFormat="1" ht="25.5">
      <c r="A547" s="201"/>
      <c r="B547" s="195" t="s">
        <v>633</v>
      </c>
      <c r="C547" s="215">
        <v>1988.3330000000001</v>
      </c>
      <c r="D547" s="215">
        <v>1988.3330000000001</v>
      </c>
      <c r="E547" s="215"/>
      <c r="F547" s="215">
        <f t="shared" si="28"/>
        <v>1988</v>
      </c>
      <c r="G547" s="215">
        <v>1988</v>
      </c>
      <c r="H547" s="215"/>
      <c r="I547" s="181"/>
      <c r="J547" s="181"/>
      <c r="K547" s="181"/>
      <c r="L547" s="181"/>
      <c r="M547" s="181"/>
      <c r="N547" s="182"/>
      <c r="O547" s="190">
        <f t="shared" si="32"/>
        <v>99.983252302305488</v>
      </c>
      <c r="P547" s="190">
        <f t="shared" si="32"/>
        <v>99.983252302305488</v>
      </c>
      <c r="Q547" s="190"/>
    </row>
    <row r="548" spans="1:17" s="132" customFormat="1" ht="38.25">
      <c r="A548" s="201"/>
      <c r="B548" s="195" t="s">
        <v>634</v>
      </c>
      <c r="C548" s="215">
        <v>12000</v>
      </c>
      <c r="D548" s="215">
        <v>12000</v>
      </c>
      <c r="E548" s="215"/>
      <c r="F548" s="215">
        <f t="shared" si="28"/>
        <v>4175</v>
      </c>
      <c r="G548" s="215">
        <v>4175</v>
      </c>
      <c r="H548" s="215"/>
      <c r="I548" s="181"/>
      <c r="J548" s="181"/>
      <c r="K548" s="181"/>
      <c r="L548" s="181"/>
      <c r="M548" s="181"/>
      <c r="N548" s="182"/>
      <c r="O548" s="190">
        <f t="shared" si="32"/>
        <v>34.791666666666664</v>
      </c>
      <c r="P548" s="190">
        <f t="shared" si="32"/>
        <v>34.791666666666664</v>
      </c>
      <c r="Q548" s="190"/>
    </row>
    <row r="549" spans="1:17" s="132" customFormat="1" ht="12.75">
      <c r="A549" s="201"/>
      <c r="B549" s="195" t="s">
        <v>635</v>
      </c>
      <c r="C549" s="215">
        <v>135483</v>
      </c>
      <c r="D549" s="215">
        <v>135483</v>
      </c>
      <c r="E549" s="215"/>
      <c r="F549" s="215">
        <f t="shared" si="28"/>
        <v>65861</v>
      </c>
      <c r="G549" s="215">
        <v>65861</v>
      </c>
      <c r="H549" s="215"/>
      <c r="I549" s="181"/>
      <c r="J549" s="181"/>
      <c r="K549" s="181"/>
      <c r="L549" s="181"/>
      <c r="M549" s="181"/>
      <c r="N549" s="182"/>
      <c r="O549" s="190">
        <f t="shared" si="32"/>
        <v>48.612002981923929</v>
      </c>
      <c r="P549" s="190">
        <f t="shared" si="32"/>
        <v>48.612002981923929</v>
      </c>
      <c r="Q549" s="190"/>
    </row>
    <row r="550" spans="1:17" s="132" customFormat="1" ht="25.5">
      <c r="A550" s="201"/>
      <c r="B550" s="195" t="s">
        <v>636</v>
      </c>
      <c r="C550" s="215">
        <v>48</v>
      </c>
      <c r="D550" s="215">
        <v>48</v>
      </c>
      <c r="E550" s="215"/>
      <c r="F550" s="215">
        <f t="shared" si="28"/>
        <v>48</v>
      </c>
      <c r="G550" s="215">
        <v>48</v>
      </c>
      <c r="H550" s="215"/>
      <c r="I550" s="181"/>
      <c r="J550" s="181"/>
      <c r="K550" s="181"/>
      <c r="L550" s="181"/>
      <c r="M550" s="181"/>
      <c r="N550" s="182"/>
      <c r="O550" s="190">
        <f t="shared" si="32"/>
        <v>100</v>
      </c>
      <c r="P550" s="190">
        <f t="shared" si="32"/>
        <v>100</v>
      </c>
      <c r="Q550" s="190"/>
    </row>
    <row r="551" spans="1:17" s="132" customFormat="1" ht="25.5">
      <c r="A551" s="201"/>
      <c r="B551" s="195" t="s">
        <v>637</v>
      </c>
      <c r="C551" s="215">
        <v>19328</v>
      </c>
      <c r="D551" s="215">
        <v>19328</v>
      </c>
      <c r="E551" s="215"/>
      <c r="F551" s="215">
        <f t="shared" si="28"/>
        <v>16978</v>
      </c>
      <c r="G551" s="215">
        <v>16978</v>
      </c>
      <c r="H551" s="215"/>
      <c r="I551" s="181"/>
      <c r="J551" s="181"/>
      <c r="K551" s="181"/>
      <c r="L551" s="181"/>
      <c r="M551" s="181"/>
      <c r="N551" s="182"/>
      <c r="O551" s="190">
        <f t="shared" si="32"/>
        <v>87.841473509933778</v>
      </c>
      <c r="P551" s="190">
        <f t="shared" si="32"/>
        <v>87.841473509933778</v>
      </c>
      <c r="Q551" s="190"/>
    </row>
    <row r="552" spans="1:17" s="132" customFormat="1" ht="25.5">
      <c r="A552" s="201"/>
      <c r="B552" s="195" t="s">
        <v>638</v>
      </c>
      <c r="C552" s="215">
        <v>51.715000000000003</v>
      </c>
      <c r="D552" s="215">
        <v>51.715000000000003</v>
      </c>
      <c r="E552" s="215"/>
      <c r="F552" s="215">
        <f t="shared" si="28"/>
        <v>48</v>
      </c>
      <c r="G552" s="215">
        <v>48</v>
      </c>
      <c r="H552" s="215"/>
      <c r="I552" s="181"/>
      <c r="J552" s="181"/>
      <c r="K552" s="181"/>
      <c r="L552" s="181"/>
      <c r="M552" s="181"/>
      <c r="N552" s="182"/>
      <c r="O552" s="190">
        <f t="shared" si="32"/>
        <v>92.816397563569552</v>
      </c>
      <c r="P552" s="190">
        <f t="shared" si="32"/>
        <v>92.816397563569552</v>
      </c>
      <c r="Q552" s="190"/>
    </row>
    <row r="553" spans="1:17" s="132" customFormat="1" ht="51">
      <c r="A553" s="201"/>
      <c r="B553" s="195" t="s">
        <v>639</v>
      </c>
      <c r="C553" s="215">
        <v>0</v>
      </c>
      <c r="D553" s="215">
        <v>0</v>
      </c>
      <c r="E553" s="215"/>
      <c r="F553" s="215">
        <f t="shared" si="28"/>
        <v>101942</v>
      </c>
      <c r="G553" s="215">
        <v>101942</v>
      </c>
      <c r="H553" s="215"/>
      <c r="I553" s="181"/>
      <c r="J553" s="181"/>
      <c r="K553" s="181"/>
      <c r="L553" s="181"/>
      <c r="M553" s="181"/>
      <c r="N553" s="182"/>
      <c r="O553" s="190"/>
      <c r="P553" s="190"/>
      <c r="Q553" s="190"/>
    </row>
    <row r="554" spans="1:17" s="132" customFormat="1" ht="38.25">
      <c r="A554" s="201"/>
      <c r="B554" s="195" t="s">
        <v>640</v>
      </c>
      <c r="C554" s="215">
        <v>15000</v>
      </c>
      <c r="D554" s="215">
        <v>15000</v>
      </c>
      <c r="E554" s="215"/>
      <c r="F554" s="215">
        <f t="shared" si="28"/>
        <v>11148</v>
      </c>
      <c r="G554" s="215">
        <v>11148</v>
      </c>
      <c r="H554" s="215"/>
      <c r="I554" s="181"/>
      <c r="J554" s="181"/>
      <c r="K554" s="181"/>
      <c r="L554" s="181"/>
      <c r="M554" s="181"/>
      <c r="N554" s="182"/>
      <c r="O554" s="190">
        <f t="shared" si="32"/>
        <v>74.319999999999993</v>
      </c>
      <c r="P554" s="190">
        <f t="shared" si="32"/>
        <v>74.319999999999993</v>
      </c>
      <c r="Q554" s="190"/>
    </row>
    <row r="555" spans="1:17" s="132" customFormat="1" ht="38.25">
      <c r="A555" s="201"/>
      <c r="B555" s="195" t="s">
        <v>641</v>
      </c>
      <c r="C555" s="215">
        <v>1582.684</v>
      </c>
      <c r="D555" s="215">
        <v>1582.684</v>
      </c>
      <c r="E555" s="215"/>
      <c r="F555" s="215">
        <f t="shared" si="28"/>
        <v>238</v>
      </c>
      <c r="G555" s="215">
        <v>238</v>
      </c>
      <c r="H555" s="215"/>
      <c r="I555" s="181"/>
      <c r="J555" s="181"/>
      <c r="K555" s="181"/>
      <c r="L555" s="181"/>
      <c r="M555" s="181"/>
      <c r="N555" s="182"/>
      <c r="O555" s="190">
        <f t="shared" si="32"/>
        <v>15.037746006151576</v>
      </c>
      <c r="P555" s="190">
        <f t="shared" si="32"/>
        <v>15.037746006151576</v>
      </c>
      <c r="Q555" s="190"/>
    </row>
    <row r="556" spans="1:17" s="132" customFormat="1" ht="25.5">
      <c r="A556" s="201"/>
      <c r="B556" s="195" t="s">
        <v>642</v>
      </c>
      <c r="C556" s="215">
        <v>969.45600000000002</v>
      </c>
      <c r="D556" s="215">
        <v>969.45600000000002</v>
      </c>
      <c r="E556" s="215"/>
      <c r="F556" s="215">
        <f t="shared" si="28"/>
        <v>969</v>
      </c>
      <c r="G556" s="215">
        <v>969</v>
      </c>
      <c r="H556" s="215"/>
      <c r="I556" s="181"/>
      <c r="J556" s="181"/>
      <c r="K556" s="181"/>
      <c r="L556" s="181"/>
      <c r="M556" s="181"/>
      <c r="N556" s="182"/>
      <c r="O556" s="190">
        <f t="shared" si="32"/>
        <v>99.952963311382888</v>
      </c>
      <c r="P556" s="190">
        <f t="shared" si="32"/>
        <v>99.952963311382888</v>
      </c>
      <c r="Q556" s="190"/>
    </row>
    <row r="557" spans="1:17" s="132" customFormat="1" ht="25.5">
      <c r="A557" s="201"/>
      <c r="B557" s="195" t="s">
        <v>643</v>
      </c>
      <c r="C557" s="215">
        <v>2475.9940000000001</v>
      </c>
      <c r="D557" s="215">
        <v>2475.9940000000001</v>
      </c>
      <c r="E557" s="215"/>
      <c r="F557" s="215">
        <f t="shared" si="28"/>
        <v>420</v>
      </c>
      <c r="G557" s="215">
        <v>420</v>
      </c>
      <c r="H557" s="215"/>
      <c r="I557" s="181"/>
      <c r="J557" s="181"/>
      <c r="K557" s="181"/>
      <c r="L557" s="181"/>
      <c r="M557" s="181"/>
      <c r="N557" s="182"/>
      <c r="O557" s="190">
        <f t="shared" si="32"/>
        <v>16.962884401173831</v>
      </c>
      <c r="P557" s="190">
        <f t="shared" si="32"/>
        <v>16.962884401173831</v>
      </c>
      <c r="Q557" s="190"/>
    </row>
    <row r="558" spans="1:17" s="132" customFormat="1" ht="51">
      <c r="A558" s="201"/>
      <c r="B558" s="195" t="s">
        <v>644</v>
      </c>
      <c r="C558" s="215">
        <v>46947.127999999997</v>
      </c>
      <c r="D558" s="215">
        <v>46947.127999999997</v>
      </c>
      <c r="E558" s="215"/>
      <c r="F558" s="215">
        <f t="shared" si="28"/>
        <v>822</v>
      </c>
      <c r="G558" s="215">
        <v>822</v>
      </c>
      <c r="H558" s="215"/>
      <c r="I558" s="181"/>
      <c r="J558" s="181"/>
      <c r="K558" s="181"/>
      <c r="L558" s="181"/>
      <c r="M558" s="181"/>
      <c r="N558" s="182"/>
      <c r="O558" s="190">
        <f t="shared" si="32"/>
        <v>1.7509058275087668</v>
      </c>
      <c r="P558" s="190">
        <f t="shared" si="32"/>
        <v>1.7509058275087668</v>
      </c>
      <c r="Q558" s="190"/>
    </row>
    <row r="559" spans="1:17" s="132" customFormat="1" ht="51">
      <c r="A559" s="201"/>
      <c r="B559" s="195" t="s">
        <v>645</v>
      </c>
      <c r="C559" s="215">
        <v>913.58</v>
      </c>
      <c r="D559" s="215">
        <v>913.58</v>
      </c>
      <c r="E559" s="215"/>
      <c r="F559" s="215">
        <f t="shared" si="28"/>
        <v>914</v>
      </c>
      <c r="G559" s="215">
        <v>914</v>
      </c>
      <c r="H559" s="215"/>
      <c r="I559" s="181"/>
      <c r="J559" s="181"/>
      <c r="K559" s="181"/>
      <c r="L559" s="181"/>
      <c r="M559" s="181"/>
      <c r="N559" s="182"/>
      <c r="O559" s="190">
        <f t="shared" si="32"/>
        <v>100.04597298539809</v>
      </c>
      <c r="P559" s="190">
        <f t="shared" si="32"/>
        <v>100.04597298539809</v>
      </c>
      <c r="Q559" s="190"/>
    </row>
    <row r="560" spans="1:17" s="132" customFormat="1" ht="33.75" customHeight="1">
      <c r="A560" s="193" t="s">
        <v>646</v>
      </c>
      <c r="B560" s="194" t="s">
        <v>456</v>
      </c>
      <c r="C560" s="213">
        <v>70162</v>
      </c>
      <c r="D560" s="213">
        <v>70162</v>
      </c>
      <c r="E560" s="213">
        <v>0</v>
      </c>
      <c r="F560" s="213">
        <f t="shared" si="28"/>
        <v>61099</v>
      </c>
      <c r="G560" s="213">
        <f t="shared" ref="G560:H560" si="33">SUM(G561:G563)</f>
        <v>61099</v>
      </c>
      <c r="H560" s="213">
        <f t="shared" si="33"/>
        <v>0</v>
      </c>
      <c r="I560" s="181"/>
      <c r="J560" s="181"/>
      <c r="K560" s="181"/>
      <c r="L560" s="181"/>
      <c r="M560" s="181"/>
      <c r="N560" s="182"/>
      <c r="O560" s="190">
        <f t="shared" si="32"/>
        <v>87.08275134688293</v>
      </c>
      <c r="P560" s="190">
        <f t="shared" si="32"/>
        <v>87.08275134688293</v>
      </c>
      <c r="Q560" s="190"/>
    </row>
    <row r="561" spans="1:17" s="132" customFormat="1" ht="25.5">
      <c r="A561" s="201"/>
      <c r="B561" s="195" t="s">
        <v>647</v>
      </c>
      <c r="C561" s="215">
        <v>24500</v>
      </c>
      <c r="D561" s="215">
        <v>24500</v>
      </c>
      <c r="E561" s="215"/>
      <c r="F561" s="215">
        <f t="shared" si="28"/>
        <v>23453</v>
      </c>
      <c r="G561" s="215">
        <v>23453</v>
      </c>
      <c r="H561" s="215"/>
      <c r="I561" s="181"/>
      <c r="J561" s="181"/>
      <c r="K561" s="181"/>
      <c r="L561" s="181"/>
      <c r="M561" s="181"/>
      <c r="N561" s="182"/>
      <c r="O561" s="190">
        <f t="shared" si="32"/>
        <v>95.7265306122449</v>
      </c>
      <c r="P561" s="190">
        <f t="shared" si="32"/>
        <v>95.7265306122449</v>
      </c>
      <c r="Q561" s="190"/>
    </row>
    <row r="562" spans="1:17" s="132" customFormat="1" ht="12.75">
      <c r="A562" s="201"/>
      <c r="B562" s="195" t="s">
        <v>648</v>
      </c>
      <c r="C562" s="215">
        <v>1049</v>
      </c>
      <c r="D562" s="215">
        <v>1049</v>
      </c>
      <c r="E562" s="215"/>
      <c r="F562" s="215">
        <f t="shared" si="28"/>
        <v>1469</v>
      </c>
      <c r="G562" s="215">
        <v>1469</v>
      </c>
      <c r="H562" s="215"/>
      <c r="I562" s="181"/>
      <c r="J562" s="181"/>
      <c r="K562" s="181"/>
      <c r="L562" s="181"/>
      <c r="M562" s="181"/>
      <c r="N562" s="182"/>
      <c r="O562" s="190">
        <f t="shared" si="32"/>
        <v>140.03813155386084</v>
      </c>
      <c r="P562" s="190">
        <f t="shared" si="32"/>
        <v>140.03813155386084</v>
      </c>
      <c r="Q562" s="190"/>
    </row>
    <row r="563" spans="1:17" s="132" customFormat="1" ht="12.75">
      <c r="A563" s="201"/>
      <c r="B563" s="195" t="s">
        <v>649</v>
      </c>
      <c r="C563" s="215">
        <v>44613</v>
      </c>
      <c r="D563" s="215">
        <v>44613</v>
      </c>
      <c r="E563" s="215"/>
      <c r="F563" s="215">
        <f t="shared" si="28"/>
        <v>36177</v>
      </c>
      <c r="G563" s="215">
        <v>36177</v>
      </c>
      <c r="H563" s="215"/>
      <c r="I563" s="181"/>
      <c r="J563" s="181"/>
      <c r="K563" s="181"/>
      <c r="L563" s="181"/>
      <c r="M563" s="181"/>
      <c r="N563" s="182"/>
      <c r="O563" s="190">
        <f t="shared" si="32"/>
        <v>81.090713469168179</v>
      </c>
      <c r="P563" s="190">
        <f t="shared" si="32"/>
        <v>81.090713469168179</v>
      </c>
      <c r="Q563" s="190"/>
    </row>
    <row r="564" spans="1:17" s="132" customFormat="1" ht="33.75" customHeight="1">
      <c r="A564" s="193" t="s">
        <v>650</v>
      </c>
      <c r="B564" s="194" t="s">
        <v>651</v>
      </c>
      <c r="C564" s="213">
        <v>9903.9110000000001</v>
      </c>
      <c r="D564" s="213">
        <v>9903.9110000000001</v>
      </c>
      <c r="E564" s="213">
        <v>0</v>
      </c>
      <c r="F564" s="213">
        <f t="shared" si="28"/>
        <v>12105</v>
      </c>
      <c r="G564" s="213">
        <f t="shared" ref="G564:H564" si="34">SUM(G565:G568)</f>
        <v>12105</v>
      </c>
      <c r="H564" s="213">
        <f t="shared" si="34"/>
        <v>0</v>
      </c>
      <c r="I564" s="181"/>
      <c r="J564" s="181"/>
      <c r="K564" s="181"/>
      <c r="L564" s="181"/>
      <c r="M564" s="181"/>
      <c r="N564" s="182"/>
      <c r="O564" s="190">
        <f t="shared" si="32"/>
        <v>122.22444244500986</v>
      </c>
      <c r="P564" s="190">
        <f t="shared" si="32"/>
        <v>122.22444244500986</v>
      </c>
      <c r="Q564" s="190"/>
    </row>
    <row r="565" spans="1:17" s="132" customFormat="1" ht="25.5">
      <c r="A565" s="201"/>
      <c r="B565" s="195" t="s">
        <v>652</v>
      </c>
      <c r="C565" s="215">
        <v>3500</v>
      </c>
      <c r="D565" s="215">
        <v>3500</v>
      </c>
      <c r="E565" s="215"/>
      <c r="F565" s="215">
        <f t="shared" si="28"/>
        <v>3101</v>
      </c>
      <c r="G565" s="215">
        <v>3101</v>
      </c>
      <c r="H565" s="215"/>
      <c r="I565" s="181"/>
      <c r="J565" s="181"/>
      <c r="K565" s="181"/>
      <c r="L565" s="181"/>
      <c r="M565" s="181"/>
      <c r="N565" s="182"/>
      <c r="O565" s="190">
        <f t="shared" si="32"/>
        <v>88.6</v>
      </c>
      <c r="P565" s="190">
        <f t="shared" si="32"/>
        <v>88.6</v>
      </c>
      <c r="Q565" s="190"/>
    </row>
    <row r="566" spans="1:17" s="132" customFormat="1" ht="12.75">
      <c r="A566" s="201"/>
      <c r="B566" s="195" t="s">
        <v>653</v>
      </c>
      <c r="C566" s="215">
        <v>3596.3040000000001</v>
      </c>
      <c r="D566" s="215">
        <v>3596.3040000000001</v>
      </c>
      <c r="E566" s="215"/>
      <c r="F566" s="215">
        <f t="shared" si="28"/>
        <v>3596</v>
      </c>
      <c r="G566" s="215">
        <v>3596</v>
      </c>
      <c r="H566" s="215"/>
      <c r="I566" s="181"/>
      <c r="J566" s="181"/>
      <c r="K566" s="181"/>
      <c r="L566" s="181"/>
      <c r="M566" s="181"/>
      <c r="N566" s="182"/>
      <c r="O566" s="190">
        <f t="shared" si="32"/>
        <v>99.991546877015963</v>
      </c>
      <c r="P566" s="190">
        <f t="shared" si="32"/>
        <v>99.991546877015963</v>
      </c>
      <c r="Q566" s="190"/>
    </row>
    <row r="567" spans="1:17" s="132" customFormat="1" ht="38.25">
      <c r="A567" s="201"/>
      <c r="B567" s="195" t="s">
        <v>654</v>
      </c>
      <c r="C567" s="215">
        <v>807.60699999999997</v>
      </c>
      <c r="D567" s="215">
        <v>807.60699999999997</v>
      </c>
      <c r="E567" s="215"/>
      <c r="F567" s="215">
        <f t="shared" si="28"/>
        <v>3408</v>
      </c>
      <c r="G567" s="215">
        <v>3408</v>
      </c>
      <c r="H567" s="215"/>
      <c r="I567" s="181"/>
      <c r="J567" s="181"/>
      <c r="K567" s="181"/>
      <c r="L567" s="181"/>
      <c r="M567" s="181"/>
      <c r="N567" s="182"/>
      <c r="O567" s="190">
        <f t="shared" si="32"/>
        <v>421.9874270530097</v>
      </c>
      <c r="P567" s="190">
        <f t="shared" si="32"/>
        <v>421.9874270530097</v>
      </c>
      <c r="Q567" s="190"/>
    </row>
    <row r="568" spans="1:17" s="132" customFormat="1" ht="38.25">
      <c r="A568" s="201"/>
      <c r="B568" s="195" t="s">
        <v>655</v>
      </c>
      <c r="C568" s="215">
        <v>2000</v>
      </c>
      <c r="D568" s="215">
        <v>2000</v>
      </c>
      <c r="E568" s="215"/>
      <c r="F568" s="215">
        <f t="shared" si="28"/>
        <v>2000</v>
      </c>
      <c r="G568" s="215">
        <v>2000</v>
      </c>
      <c r="H568" s="215"/>
      <c r="I568" s="181"/>
      <c r="J568" s="181"/>
      <c r="K568" s="181"/>
      <c r="L568" s="181"/>
      <c r="M568" s="181"/>
      <c r="N568" s="182"/>
      <c r="O568" s="190">
        <f t="shared" si="32"/>
        <v>100</v>
      </c>
      <c r="P568" s="190">
        <f t="shared" si="32"/>
        <v>100</v>
      </c>
      <c r="Q568" s="190"/>
    </row>
    <row r="569" spans="1:17" s="132" customFormat="1" ht="33.75" customHeight="1">
      <c r="A569" s="193" t="s">
        <v>656</v>
      </c>
      <c r="B569" s="194" t="s">
        <v>346</v>
      </c>
      <c r="C569" s="213">
        <v>7230.9229999999998</v>
      </c>
      <c r="D569" s="213">
        <v>7230.9229999999998</v>
      </c>
      <c r="E569" s="213">
        <v>0</v>
      </c>
      <c r="F569" s="213">
        <f t="shared" ref="F569:F632" si="35">G569+L569</f>
        <v>7015</v>
      </c>
      <c r="G569" s="213">
        <f>SUM(G570:G573)</f>
        <v>7015</v>
      </c>
      <c r="H569" s="213">
        <f t="shared" ref="H569" si="36">SUM(H570:H573)</f>
        <v>0</v>
      </c>
      <c r="I569" s="181"/>
      <c r="J569" s="181"/>
      <c r="K569" s="181"/>
      <c r="L569" s="181"/>
      <c r="M569" s="181"/>
      <c r="N569" s="182"/>
      <c r="O569" s="190">
        <f t="shared" si="32"/>
        <v>97.013894353459435</v>
      </c>
      <c r="P569" s="190">
        <f t="shared" si="32"/>
        <v>97.013894353459435</v>
      </c>
      <c r="Q569" s="190"/>
    </row>
    <row r="570" spans="1:17" s="132" customFormat="1" ht="38.25">
      <c r="A570" s="201"/>
      <c r="B570" s="195" t="s">
        <v>657</v>
      </c>
      <c r="C570" s="215">
        <v>115</v>
      </c>
      <c r="D570" s="215">
        <v>115</v>
      </c>
      <c r="E570" s="215"/>
      <c r="F570" s="215">
        <f t="shared" si="35"/>
        <v>115</v>
      </c>
      <c r="G570" s="215">
        <v>115</v>
      </c>
      <c r="H570" s="215"/>
      <c r="I570" s="181"/>
      <c r="J570" s="181"/>
      <c r="K570" s="181"/>
      <c r="L570" s="181"/>
      <c r="M570" s="181"/>
      <c r="N570" s="182"/>
      <c r="O570" s="190">
        <f t="shared" si="32"/>
        <v>100</v>
      </c>
      <c r="P570" s="190">
        <f t="shared" si="32"/>
        <v>100</v>
      </c>
      <c r="Q570" s="190"/>
    </row>
    <row r="571" spans="1:17" s="132" customFormat="1" ht="38.25">
      <c r="A571" s="201"/>
      <c r="B571" s="195" t="s">
        <v>658</v>
      </c>
      <c r="C571" s="215">
        <v>8.923</v>
      </c>
      <c r="D571" s="215">
        <v>8.923</v>
      </c>
      <c r="E571" s="215"/>
      <c r="F571" s="215">
        <f t="shared" si="35"/>
        <v>9</v>
      </c>
      <c r="G571" s="215">
        <v>9</v>
      </c>
      <c r="H571" s="215"/>
      <c r="I571" s="181"/>
      <c r="J571" s="181"/>
      <c r="K571" s="181"/>
      <c r="L571" s="181"/>
      <c r="M571" s="181"/>
      <c r="N571" s="182"/>
      <c r="O571" s="190">
        <f t="shared" si="32"/>
        <v>100.86293847360753</v>
      </c>
      <c r="P571" s="190">
        <f t="shared" si="32"/>
        <v>100.86293847360753</v>
      </c>
      <c r="Q571" s="190"/>
    </row>
    <row r="572" spans="1:17" s="132" customFormat="1" ht="38.25">
      <c r="A572" s="201"/>
      <c r="B572" s="195" t="s">
        <v>659</v>
      </c>
      <c r="C572" s="215">
        <v>6107</v>
      </c>
      <c r="D572" s="215">
        <v>6107</v>
      </c>
      <c r="E572" s="215"/>
      <c r="F572" s="215">
        <f t="shared" si="35"/>
        <v>6107</v>
      </c>
      <c r="G572" s="215">
        <v>6107</v>
      </c>
      <c r="H572" s="215"/>
      <c r="I572" s="181"/>
      <c r="J572" s="181"/>
      <c r="K572" s="181"/>
      <c r="L572" s="181"/>
      <c r="M572" s="181"/>
      <c r="N572" s="182"/>
      <c r="O572" s="190">
        <f t="shared" si="32"/>
        <v>100</v>
      </c>
      <c r="P572" s="190">
        <f t="shared" si="32"/>
        <v>100</v>
      </c>
      <c r="Q572" s="190"/>
    </row>
    <row r="573" spans="1:17" s="132" customFormat="1" ht="51">
      <c r="A573" s="201"/>
      <c r="B573" s="195" t="s">
        <v>660</v>
      </c>
      <c r="C573" s="215">
        <v>1000</v>
      </c>
      <c r="D573" s="215">
        <v>1000</v>
      </c>
      <c r="E573" s="215"/>
      <c r="F573" s="215">
        <f t="shared" si="35"/>
        <v>784</v>
      </c>
      <c r="G573" s="215">
        <v>784</v>
      </c>
      <c r="H573" s="215"/>
      <c r="I573" s="181"/>
      <c r="J573" s="181"/>
      <c r="K573" s="181"/>
      <c r="L573" s="181"/>
      <c r="M573" s="181"/>
      <c r="N573" s="182"/>
      <c r="O573" s="190">
        <f t="shared" si="32"/>
        <v>78.400000000000006</v>
      </c>
      <c r="P573" s="190">
        <f t="shared" si="32"/>
        <v>78.400000000000006</v>
      </c>
      <c r="Q573" s="190"/>
    </row>
    <row r="574" spans="1:17" s="132" customFormat="1" ht="33.75" customHeight="1">
      <c r="A574" s="193" t="s">
        <v>661</v>
      </c>
      <c r="B574" s="194" t="s">
        <v>554</v>
      </c>
      <c r="C574" s="213">
        <v>5043</v>
      </c>
      <c r="D574" s="213">
        <v>5043</v>
      </c>
      <c r="E574" s="213">
        <v>0</v>
      </c>
      <c r="F574" s="213">
        <f t="shared" si="35"/>
        <v>2941</v>
      </c>
      <c r="G574" s="213">
        <f t="shared" ref="G574:H574" si="37">SUM(G575:G576)</f>
        <v>2941</v>
      </c>
      <c r="H574" s="213">
        <f t="shared" si="37"/>
        <v>0</v>
      </c>
      <c r="I574" s="181"/>
      <c r="J574" s="181"/>
      <c r="K574" s="181"/>
      <c r="L574" s="181"/>
      <c r="M574" s="181"/>
      <c r="N574" s="182"/>
      <c r="O574" s="190">
        <f t="shared" si="32"/>
        <v>58.318461233392824</v>
      </c>
      <c r="P574" s="190">
        <f t="shared" si="32"/>
        <v>58.318461233392824</v>
      </c>
      <c r="Q574" s="190"/>
    </row>
    <row r="575" spans="1:17" s="132" customFormat="1" ht="25.5">
      <c r="A575" s="201"/>
      <c r="B575" s="195" t="s">
        <v>662</v>
      </c>
      <c r="C575" s="215">
        <v>43</v>
      </c>
      <c r="D575" s="215">
        <v>43</v>
      </c>
      <c r="E575" s="215"/>
      <c r="F575" s="215">
        <f t="shared" si="35"/>
        <v>38</v>
      </c>
      <c r="G575" s="215">
        <v>38</v>
      </c>
      <c r="H575" s="215"/>
      <c r="I575" s="181"/>
      <c r="J575" s="181"/>
      <c r="K575" s="181"/>
      <c r="L575" s="181"/>
      <c r="M575" s="181"/>
      <c r="N575" s="182"/>
      <c r="O575" s="190">
        <f t="shared" si="32"/>
        <v>88.372093023255815</v>
      </c>
      <c r="P575" s="190">
        <f t="shared" si="32"/>
        <v>88.372093023255815</v>
      </c>
      <c r="Q575" s="190"/>
    </row>
    <row r="576" spans="1:17" s="132" customFormat="1" ht="12.75">
      <c r="A576" s="201"/>
      <c r="B576" s="195" t="s">
        <v>663</v>
      </c>
      <c r="C576" s="215">
        <v>5000</v>
      </c>
      <c r="D576" s="215">
        <v>5000</v>
      </c>
      <c r="E576" s="215"/>
      <c r="F576" s="215">
        <f t="shared" si="35"/>
        <v>2903</v>
      </c>
      <c r="G576" s="215">
        <v>2903</v>
      </c>
      <c r="H576" s="215"/>
      <c r="I576" s="181"/>
      <c r="J576" s="181"/>
      <c r="K576" s="181"/>
      <c r="L576" s="181"/>
      <c r="M576" s="181"/>
      <c r="N576" s="182"/>
      <c r="O576" s="190">
        <f t="shared" si="32"/>
        <v>58.06</v>
      </c>
      <c r="P576" s="190">
        <f t="shared" si="32"/>
        <v>58.06</v>
      </c>
      <c r="Q576" s="190"/>
    </row>
    <row r="577" spans="1:17" s="132" customFormat="1" ht="33.75" customHeight="1">
      <c r="A577" s="193" t="s">
        <v>664</v>
      </c>
      <c r="B577" s="194" t="s">
        <v>665</v>
      </c>
      <c r="C577" s="213">
        <v>812691.46299999999</v>
      </c>
      <c r="D577" s="213">
        <v>812691.46299999999</v>
      </c>
      <c r="E577" s="213">
        <v>0</v>
      </c>
      <c r="F577" s="213">
        <f t="shared" si="35"/>
        <v>719049</v>
      </c>
      <c r="G577" s="213">
        <f t="shared" ref="G577:H577" si="38">SUM(G578:G594)</f>
        <v>719049</v>
      </c>
      <c r="H577" s="213">
        <f t="shared" si="38"/>
        <v>0</v>
      </c>
      <c r="I577" s="181"/>
      <c r="J577" s="181"/>
      <c r="K577" s="181"/>
      <c r="L577" s="181"/>
      <c r="M577" s="181"/>
      <c r="N577" s="182"/>
      <c r="O577" s="190">
        <f t="shared" si="32"/>
        <v>88.47748902709958</v>
      </c>
      <c r="P577" s="190">
        <f t="shared" si="32"/>
        <v>88.47748902709958</v>
      </c>
      <c r="Q577" s="190"/>
    </row>
    <row r="578" spans="1:17" s="132" customFormat="1" ht="25.5">
      <c r="A578" s="201"/>
      <c r="B578" s="195" t="s">
        <v>666</v>
      </c>
      <c r="C578" s="215">
        <v>3000</v>
      </c>
      <c r="D578" s="215">
        <v>3000</v>
      </c>
      <c r="E578" s="215"/>
      <c r="F578" s="215">
        <f t="shared" si="35"/>
        <v>3000</v>
      </c>
      <c r="G578" s="215">
        <v>3000</v>
      </c>
      <c r="H578" s="215"/>
      <c r="I578" s="181"/>
      <c r="J578" s="181"/>
      <c r="K578" s="181"/>
      <c r="L578" s="181"/>
      <c r="M578" s="181"/>
      <c r="N578" s="182"/>
      <c r="O578" s="190">
        <f t="shared" si="32"/>
        <v>100</v>
      </c>
      <c r="P578" s="190">
        <f t="shared" si="32"/>
        <v>100</v>
      </c>
      <c r="Q578" s="190"/>
    </row>
    <row r="579" spans="1:17" s="132" customFormat="1" ht="38.25">
      <c r="A579" s="201"/>
      <c r="B579" s="195" t="s">
        <v>667</v>
      </c>
      <c r="C579" s="215">
        <v>81109.123999999996</v>
      </c>
      <c r="D579" s="215">
        <v>81109.123999999996</v>
      </c>
      <c r="E579" s="215"/>
      <c r="F579" s="215">
        <f t="shared" si="35"/>
        <v>51962</v>
      </c>
      <c r="G579" s="215">
        <v>51962</v>
      </c>
      <c r="H579" s="215"/>
      <c r="I579" s="181"/>
      <c r="J579" s="181"/>
      <c r="K579" s="181"/>
      <c r="L579" s="181"/>
      <c r="M579" s="181"/>
      <c r="N579" s="182"/>
      <c r="O579" s="190">
        <f t="shared" si="32"/>
        <v>64.064309213843813</v>
      </c>
      <c r="P579" s="190">
        <f t="shared" si="32"/>
        <v>64.064309213843813</v>
      </c>
      <c r="Q579" s="190"/>
    </row>
    <row r="580" spans="1:17" s="132" customFormat="1" ht="25.5">
      <c r="A580" s="201"/>
      <c r="B580" s="195" t="s">
        <v>668</v>
      </c>
      <c r="C580" s="215">
        <v>1519</v>
      </c>
      <c r="D580" s="215">
        <v>1519</v>
      </c>
      <c r="E580" s="215"/>
      <c r="F580" s="215">
        <f t="shared" si="35"/>
        <v>1430</v>
      </c>
      <c r="G580" s="215">
        <v>1430</v>
      </c>
      <c r="H580" s="215"/>
      <c r="I580" s="181"/>
      <c r="J580" s="181"/>
      <c r="K580" s="181"/>
      <c r="L580" s="181"/>
      <c r="M580" s="181"/>
      <c r="N580" s="182"/>
      <c r="O580" s="190">
        <f t="shared" si="32"/>
        <v>94.140882159315339</v>
      </c>
      <c r="P580" s="190">
        <f t="shared" si="32"/>
        <v>94.140882159315339</v>
      </c>
      <c r="Q580" s="190"/>
    </row>
    <row r="581" spans="1:17" s="132" customFormat="1" ht="25.5">
      <c r="A581" s="201"/>
      <c r="B581" s="195" t="s">
        <v>669</v>
      </c>
      <c r="C581" s="215">
        <v>146000</v>
      </c>
      <c r="D581" s="215">
        <v>146000</v>
      </c>
      <c r="E581" s="215"/>
      <c r="F581" s="215">
        <f t="shared" si="35"/>
        <v>146000</v>
      </c>
      <c r="G581" s="215">
        <v>146000</v>
      </c>
      <c r="H581" s="215"/>
      <c r="I581" s="181"/>
      <c r="J581" s="181"/>
      <c r="K581" s="181"/>
      <c r="L581" s="181"/>
      <c r="M581" s="181"/>
      <c r="N581" s="182"/>
      <c r="O581" s="190">
        <f t="shared" si="32"/>
        <v>100</v>
      </c>
      <c r="P581" s="190">
        <f t="shared" si="32"/>
        <v>100</v>
      </c>
      <c r="Q581" s="190"/>
    </row>
    <row r="582" spans="1:17" s="132" customFormat="1" ht="51">
      <c r="A582" s="201"/>
      <c r="B582" s="195" t="s">
        <v>670</v>
      </c>
      <c r="C582" s="215">
        <v>3890.8760000000002</v>
      </c>
      <c r="D582" s="215">
        <v>3890.8760000000002</v>
      </c>
      <c r="E582" s="215"/>
      <c r="F582" s="215">
        <f t="shared" si="35"/>
        <v>3890</v>
      </c>
      <c r="G582" s="215">
        <v>3890</v>
      </c>
      <c r="H582" s="215"/>
      <c r="I582" s="181"/>
      <c r="J582" s="181"/>
      <c r="K582" s="181"/>
      <c r="L582" s="181"/>
      <c r="M582" s="181"/>
      <c r="N582" s="182"/>
      <c r="O582" s="190">
        <f t="shared" si="32"/>
        <v>99.977485789832414</v>
      </c>
      <c r="P582" s="190">
        <f t="shared" si="32"/>
        <v>99.977485789832414</v>
      </c>
      <c r="Q582" s="190"/>
    </row>
    <row r="583" spans="1:17" s="132" customFormat="1" ht="38.25">
      <c r="A583" s="201"/>
      <c r="B583" s="195" t="s">
        <v>671</v>
      </c>
      <c r="C583" s="215">
        <v>54900</v>
      </c>
      <c r="D583" s="215">
        <v>54900</v>
      </c>
      <c r="E583" s="215"/>
      <c r="F583" s="215">
        <f t="shared" si="35"/>
        <v>54906</v>
      </c>
      <c r="G583" s="215">
        <v>54906</v>
      </c>
      <c r="H583" s="215"/>
      <c r="I583" s="181"/>
      <c r="J583" s="181"/>
      <c r="K583" s="181"/>
      <c r="L583" s="181"/>
      <c r="M583" s="181"/>
      <c r="N583" s="182"/>
      <c r="O583" s="190">
        <f t="shared" si="32"/>
        <v>100.01092896174863</v>
      </c>
      <c r="P583" s="190">
        <f t="shared" si="32"/>
        <v>100.01092896174863</v>
      </c>
      <c r="Q583" s="190"/>
    </row>
    <row r="584" spans="1:17" s="132" customFormat="1" ht="25.5">
      <c r="A584" s="201"/>
      <c r="B584" s="195" t="s">
        <v>672</v>
      </c>
      <c r="C584" s="215">
        <v>7500</v>
      </c>
      <c r="D584" s="215">
        <v>7500</v>
      </c>
      <c r="E584" s="215"/>
      <c r="F584" s="215">
        <f t="shared" si="35"/>
        <v>7500</v>
      </c>
      <c r="G584" s="215">
        <v>7500</v>
      </c>
      <c r="H584" s="215"/>
      <c r="I584" s="181"/>
      <c r="J584" s="181"/>
      <c r="K584" s="181"/>
      <c r="L584" s="181"/>
      <c r="M584" s="181"/>
      <c r="N584" s="182"/>
      <c r="O584" s="190">
        <f t="shared" si="32"/>
        <v>100</v>
      </c>
      <c r="P584" s="190">
        <f t="shared" si="32"/>
        <v>100</v>
      </c>
      <c r="Q584" s="190"/>
    </row>
    <row r="585" spans="1:17" s="132" customFormat="1" ht="12.75">
      <c r="A585" s="201"/>
      <c r="B585" s="195" t="s">
        <v>673</v>
      </c>
      <c r="C585" s="215">
        <v>70141</v>
      </c>
      <c r="D585" s="215">
        <v>70141</v>
      </c>
      <c r="E585" s="215"/>
      <c r="F585" s="215">
        <f t="shared" si="35"/>
        <v>77782</v>
      </c>
      <c r="G585" s="215">
        <v>77782</v>
      </c>
      <c r="H585" s="215"/>
      <c r="I585" s="181"/>
      <c r="J585" s="181"/>
      <c r="K585" s="181"/>
      <c r="L585" s="181"/>
      <c r="M585" s="181"/>
      <c r="N585" s="182"/>
      <c r="O585" s="190">
        <f t="shared" si="32"/>
        <v>110.89377111817625</v>
      </c>
      <c r="P585" s="190">
        <f t="shared" si="32"/>
        <v>110.89377111817625</v>
      </c>
      <c r="Q585" s="190"/>
    </row>
    <row r="586" spans="1:17" s="132" customFormat="1" ht="25.5">
      <c r="A586" s="201"/>
      <c r="B586" s="195" t="s">
        <v>674</v>
      </c>
      <c r="C586" s="215">
        <v>11673</v>
      </c>
      <c r="D586" s="215">
        <v>11673</v>
      </c>
      <c r="E586" s="215"/>
      <c r="F586" s="215">
        <f t="shared" si="35"/>
        <v>2270</v>
      </c>
      <c r="G586" s="215">
        <v>2270</v>
      </c>
      <c r="H586" s="215"/>
      <c r="I586" s="181"/>
      <c r="J586" s="181"/>
      <c r="K586" s="181"/>
      <c r="L586" s="181"/>
      <c r="M586" s="181"/>
      <c r="N586" s="182"/>
      <c r="O586" s="190">
        <f t="shared" si="32"/>
        <v>19.44658613895314</v>
      </c>
      <c r="P586" s="190">
        <f t="shared" si="32"/>
        <v>19.44658613895314</v>
      </c>
      <c r="Q586" s="190"/>
    </row>
    <row r="587" spans="1:17" s="132" customFormat="1" ht="25.5">
      <c r="A587" s="201"/>
      <c r="B587" s="195" t="s">
        <v>675</v>
      </c>
      <c r="C587" s="215">
        <v>79.322999999999993</v>
      </c>
      <c r="D587" s="215">
        <v>79.322999999999993</v>
      </c>
      <c r="E587" s="215"/>
      <c r="F587" s="215">
        <f t="shared" si="35"/>
        <v>79</v>
      </c>
      <c r="G587" s="215">
        <v>79</v>
      </c>
      <c r="H587" s="215"/>
      <c r="I587" s="181"/>
      <c r="J587" s="181"/>
      <c r="K587" s="181"/>
      <c r="L587" s="181"/>
      <c r="M587" s="181"/>
      <c r="N587" s="182"/>
      <c r="O587" s="190">
        <f t="shared" si="32"/>
        <v>99.592804104736345</v>
      </c>
      <c r="P587" s="190">
        <f t="shared" si="32"/>
        <v>99.592804104736345</v>
      </c>
      <c r="Q587" s="190"/>
    </row>
    <row r="588" spans="1:17" s="132" customFormat="1" ht="25.5">
      <c r="A588" s="201"/>
      <c r="B588" s="195" t="s">
        <v>676</v>
      </c>
      <c r="C588" s="215">
        <v>0</v>
      </c>
      <c r="D588" s="215">
        <v>0</v>
      </c>
      <c r="E588" s="215"/>
      <c r="F588" s="215">
        <f t="shared" si="35"/>
        <v>1561</v>
      </c>
      <c r="G588" s="215">
        <v>1561</v>
      </c>
      <c r="H588" s="215"/>
      <c r="I588" s="181"/>
      <c r="J588" s="181"/>
      <c r="K588" s="181"/>
      <c r="L588" s="181"/>
      <c r="M588" s="181"/>
      <c r="N588" s="182"/>
      <c r="O588" s="190"/>
      <c r="P588" s="190"/>
      <c r="Q588" s="190"/>
    </row>
    <row r="589" spans="1:17" s="132" customFormat="1" ht="12.75">
      <c r="A589" s="201"/>
      <c r="B589" s="195" t="s">
        <v>677</v>
      </c>
      <c r="C589" s="215">
        <v>3864</v>
      </c>
      <c r="D589" s="215">
        <v>3864</v>
      </c>
      <c r="E589" s="215"/>
      <c r="F589" s="215">
        <f t="shared" si="35"/>
        <v>3684</v>
      </c>
      <c r="G589" s="215">
        <v>3684</v>
      </c>
      <c r="H589" s="215"/>
      <c r="I589" s="181"/>
      <c r="J589" s="181"/>
      <c r="K589" s="181"/>
      <c r="L589" s="181"/>
      <c r="M589" s="181"/>
      <c r="N589" s="182"/>
      <c r="O589" s="190">
        <f t="shared" ref="O589:P652" si="39">F589/C589*100</f>
        <v>95.341614906832291</v>
      </c>
      <c r="P589" s="190">
        <f t="shared" si="39"/>
        <v>95.341614906832291</v>
      </c>
      <c r="Q589" s="190"/>
    </row>
    <row r="590" spans="1:17" s="132" customFormat="1" ht="25.5">
      <c r="A590" s="201"/>
      <c r="B590" s="195" t="s">
        <v>678</v>
      </c>
      <c r="C590" s="215">
        <v>49863</v>
      </c>
      <c r="D590" s="215">
        <v>49863</v>
      </c>
      <c r="E590" s="215"/>
      <c r="F590" s="215">
        <f t="shared" si="35"/>
        <v>53465</v>
      </c>
      <c r="G590" s="215">
        <v>53465</v>
      </c>
      <c r="H590" s="215"/>
      <c r="I590" s="181"/>
      <c r="J590" s="181"/>
      <c r="K590" s="181"/>
      <c r="L590" s="181"/>
      <c r="M590" s="181"/>
      <c r="N590" s="182"/>
      <c r="O590" s="190">
        <f t="shared" si="39"/>
        <v>107.22379319334978</v>
      </c>
      <c r="P590" s="190">
        <f t="shared" si="39"/>
        <v>107.22379319334978</v>
      </c>
      <c r="Q590" s="190"/>
    </row>
    <row r="591" spans="1:17" s="132" customFormat="1" ht="12.75">
      <c r="A591" s="201"/>
      <c r="B591" s="195" t="s">
        <v>679</v>
      </c>
      <c r="C591" s="215">
        <v>233002.76699999999</v>
      </c>
      <c r="D591" s="215">
        <v>233002.76699999999</v>
      </c>
      <c r="E591" s="215"/>
      <c r="F591" s="215">
        <f t="shared" si="35"/>
        <v>293273</v>
      </c>
      <c r="G591" s="215">
        <v>293273</v>
      </c>
      <c r="H591" s="215"/>
      <c r="I591" s="181"/>
      <c r="J591" s="181"/>
      <c r="K591" s="181"/>
      <c r="L591" s="181"/>
      <c r="M591" s="181"/>
      <c r="N591" s="182"/>
      <c r="O591" s="190">
        <f t="shared" si="39"/>
        <v>125.86674560821847</v>
      </c>
      <c r="P591" s="190">
        <f t="shared" si="39"/>
        <v>125.86674560821847</v>
      </c>
      <c r="Q591" s="190"/>
    </row>
    <row r="592" spans="1:17" s="132" customFormat="1" ht="25.5">
      <c r="A592" s="201"/>
      <c r="B592" s="195" t="s">
        <v>680</v>
      </c>
      <c r="C592" s="215">
        <v>43846.373</v>
      </c>
      <c r="D592" s="215">
        <v>43846.373</v>
      </c>
      <c r="E592" s="215"/>
      <c r="F592" s="215">
        <f t="shared" si="35"/>
        <v>5760</v>
      </c>
      <c r="G592" s="215">
        <v>5760</v>
      </c>
      <c r="H592" s="215"/>
      <c r="I592" s="181"/>
      <c r="J592" s="181"/>
      <c r="K592" s="181"/>
      <c r="L592" s="181"/>
      <c r="M592" s="181"/>
      <c r="N592" s="182"/>
      <c r="O592" s="190">
        <f t="shared" si="39"/>
        <v>13.136776444427911</v>
      </c>
      <c r="P592" s="190">
        <f t="shared" si="39"/>
        <v>13.136776444427911</v>
      </c>
      <c r="Q592" s="190"/>
    </row>
    <row r="593" spans="1:17" s="132" customFormat="1" ht="25.5">
      <c r="A593" s="201"/>
      <c r="B593" s="195" t="s">
        <v>681</v>
      </c>
      <c r="C593" s="215">
        <v>100000</v>
      </c>
      <c r="D593" s="215">
        <v>100000</v>
      </c>
      <c r="E593" s="215"/>
      <c r="F593" s="215">
        <f t="shared" si="35"/>
        <v>11213</v>
      </c>
      <c r="G593" s="215">
        <v>11213</v>
      </c>
      <c r="H593" s="215"/>
      <c r="I593" s="181"/>
      <c r="J593" s="181"/>
      <c r="K593" s="181"/>
      <c r="L593" s="181"/>
      <c r="M593" s="181"/>
      <c r="N593" s="182"/>
      <c r="O593" s="190">
        <f t="shared" si="39"/>
        <v>11.212999999999999</v>
      </c>
      <c r="P593" s="190">
        <f t="shared" si="39"/>
        <v>11.212999999999999</v>
      </c>
      <c r="Q593" s="190"/>
    </row>
    <row r="594" spans="1:17" s="132" customFormat="1" ht="12.75">
      <c r="A594" s="201"/>
      <c r="B594" s="195" t="s">
        <v>682</v>
      </c>
      <c r="C594" s="215">
        <v>2303</v>
      </c>
      <c r="D594" s="215">
        <v>2303</v>
      </c>
      <c r="E594" s="215"/>
      <c r="F594" s="215">
        <f t="shared" si="35"/>
        <v>1274</v>
      </c>
      <c r="G594" s="215">
        <v>1274</v>
      </c>
      <c r="H594" s="215"/>
      <c r="I594" s="181"/>
      <c r="J594" s="181"/>
      <c r="K594" s="181"/>
      <c r="L594" s="181"/>
      <c r="M594" s="181"/>
      <c r="N594" s="182"/>
      <c r="O594" s="190">
        <f t="shared" si="39"/>
        <v>55.319148936170215</v>
      </c>
      <c r="P594" s="190">
        <f t="shared" si="39"/>
        <v>55.319148936170215</v>
      </c>
      <c r="Q594" s="190"/>
    </row>
    <row r="595" spans="1:17" s="132" customFormat="1" ht="33.75" customHeight="1">
      <c r="A595" s="193" t="s">
        <v>683</v>
      </c>
      <c r="B595" s="194" t="s">
        <v>179</v>
      </c>
      <c r="C595" s="213">
        <v>31869.721000000001</v>
      </c>
      <c r="D595" s="213">
        <v>31869.721000000001</v>
      </c>
      <c r="E595" s="213"/>
      <c r="F595" s="213">
        <f t="shared" si="35"/>
        <v>31743.55</v>
      </c>
      <c r="G595" s="213">
        <f t="shared" ref="G595:H595" si="40">SUM(G596:G612)</f>
        <v>31743.55</v>
      </c>
      <c r="H595" s="213">
        <f t="shared" si="40"/>
        <v>0</v>
      </c>
      <c r="I595" s="181"/>
      <c r="J595" s="181"/>
      <c r="K595" s="181"/>
      <c r="L595" s="181"/>
      <c r="M595" s="181"/>
      <c r="N595" s="182"/>
      <c r="O595" s="190">
        <f t="shared" si="39"/>
        <v>99.604103845151329</v>
      </c>
      <c r="P595" s="190">
        <f t="shared" si="39"/>
        <v>99.604103845151329</v>
      </c>
      <c r="Q595" s="190"/>
    </row>
    <row r="596" spans="1:17" s="132" customFormat="1" ht="25.5">
      <c r="A596" s="201"/>
      <c r="B596" s="195" t="s">
        <v>684</v>
      </c>
      <c r="C596" s="215">
        <v>506</v>
      </c>
      <c r="D596" s="215">
        <v>506</v>
      </c>
      <c r="E596" s="215"/>
      <c r="F596" s="215">
        <f t="shared" si="35"/>
        <v>506</v>
      </c>
      <c r="G596" s="215">
        <v>506</v>
      </c>
      <c r="H596" s="215"/>
      <c r="I596" s="181"/>
      <c r="J596" s="181"/>
      <c r="K596" s="181"/>
      <c r="L596" s="181"/>
      <c r="M596" s="181"/>
      <c r="N596" s="182"/>
      <c r="O596" s="190">
        <f t="shared" si="39"/>
        <v>100</v>
      </c>
      <c r="P596" s="190">
        <f t="shared" si="39"/>
        <v>100</v>
      </c>
      <c r="Q596" s="190"/>
    </row>
    <row r="597" spans="1:17" s="132" customFormat="1" ht="25.5">
      <c r="A597" s="201"/>
      <c r="B597" s="195" t="s">
        <v>685</v>
      </c>
      <c r="C597" s="215">
        <v>5935.8630000000003</v>
      </c>
      <c r="D597" s="215">
        <v>5935.8630000000003</v>
      </c>
      <c r="E597" s="215"/>
      <c r="F597" s="215">
        <f t="shared" si="35"/>
        <v>5936</v>
      </c>
      <c r="G597" s="215">
        <v>5936</v>
      </c>
      <c r="H597" s="215"/>
      <c r="I597" s="181"/>
      <c r="J597" s="181"/>
      <c r="K597" s="181"/>
      <c r="L597" s="181"/>
      <c r="M597" s="181"/>
      <c r="N597" s="182"/>
      <c r="O597" s="190">
        <f t="shared" si="39"/>
        <v>100.00230800475009</v>
      </c>
      <c r="P597" s="190">
        <f t="shared" si="39"/>
        <v>100.00230800475009</v>
      </c>
      <c r="Q597" s="190"/>
    </row>
    <row r="598" spans="1:17" s="132" customFormat="1" ht="38.25">
      <c r="A598" s="201"/>
      <c r="B598" s="195" t="s">
        <v>686</v>
      </c>
      <c r="C598" s="215">
        <v>1583</v>
      </c>
      <c r="D598" s="215">
        <v>1583</v>
      </c>
      <c r="E598" s="215"/>
      <c r="F598" s="215">
        <f t="shared" si="35"/>
        <v>1583</v>
      </c>
      <c r="G598" s="215">
        <v>1583</v>
      </c>
      <c r="H598" s="215"/>
      <c r="I598" s="181"/>
      <c r="J598" s="181"/>
      <c r="K598" s="181"/>
      <c r="L598" s="181"/>
      <c r="M598" s="181"/>
      <c r="N598" s="182"/>
      <c r="O598" s="190">
        <f t="shared" si="39"/>
        <v>100</v>
      </c>
      <c r="P598" s="190">
        <f t="shared" si="39"/>
        <v>100</v>
      </c>
      <c r="Q598" s="190"/>
    </row>
    <row r="599" spans="1:17" s="132" customFormat="1" ht="25.5">
      <c r="A599" s="201"/>
      <c r="B599" s="195" t="s">
        <v>687</v>
      </c>
      <c r="C599" s="215">
        <v>594.70100000000002</v>
      </c>
      <c r="D599" s="215">
        <v>594.70100000000002</v>
      </c>
      <c r="E599" s="215"/>
      <c r="F599" s="215">
        <f t="shared" si="35"/>
        <v>577</v>
      </c>
      <c r="G599" s="215">
        <v>577</v>
      </c>
      <c r="H599" s="215"/>
      <c r="I599" s="181"/>
      <c r="J599" s="181"/>
      <c r="K599" s="181"/>
      <c r="L599" s="181"/>
      <c r="M599" s="181"/>
      <c r="N599" s="182"/>
      <c r="O599" s="190">
        <f t="shared" si="39"/>
        <v>97.02354628628504</v>
      </c>
      <c r="P599" s="190">
        <f t="shared" si="39"/>
        <v>97.02354628628504</v>
      </c>
      <c r="Q599" s="190"/>
    </row>
    <row r="600" spans="1:17" s="132" customFormat="1" ht="25.5">
      <c r="A600" s="201"/>
      <c r="B600" s="195" t="s">
        <v>688</v>
      </c>
      <c r="C600" s="215">
        <v>20.56</v>
      </c>
      <c r="D600" s="215">
        <v>20.56</v>
      </c>
      <c r="E600" s="215"/>
      <c r="F600" s="215">
        <f t="shared" si="35"/>
        <v>21</v>
      </c>
      <c r="G600" s="215">
        <v>21</v>
      </c>
      <c r="H600" s="215"/>
      <c r="I600" s="181"/>
      <c r="J600" s="181"/>
      <c r="K600" s="181"/>
      <c r="L600" s="181"/>
      <c r="M600" s="181"/>
      <c r="N600" s="182"/>
      <c r="O600" s="190">
        <f t="shared" si="39"/>
        <v>102.14007782101169</v>
      </c>
      <c r="P600" s="190">
        <f t="shared" si="39"/>
        <v>102.14007782101169</v>
      </c>
      <c r="Q600" s="190"/>
    </row>
    <row r="601" spans="1:17" s="132" customFormat="1" ht="38.25">
      <c r="A601" s="201"/>
      <c r="B601" s="195" t="s">
        <v>689</v>
      </c>
      <c r="C601" s="215">
        <v>1205.5999999999999</v>
      </c>
      <c r="D601" s="215">
        <v>1205.5999999999999</v>
      </c>
      <c r="E601" s="215"/>
      <c r="F601" s="215">
        <f t="shared" si="35"/>
        <v>1206</v>
      </c>
      <c r="G601" s="215">
        <v>1206</v>
      </c>
      <c r="H601" s="215"/>
      <c r="I601" s="181"/>
      <c r="J601" s="181"/>
      <c r="K601" s="181"/>
      <c r="L601" s="181"/>
      <c r="M601" s="181"/>
      <c r="N601" s="182"/>
      <c r="O601" s="190">
        <f t="shared" si="39"/>
        <v>100.0331785003318</v>
      </c>
      <c r="P601" s="190">
        <f t="shared" si="39"/>
        <v>100.0331785003318</v>
      </c>
      <c r="Q601" s="190"/>
    </row>
    <row r="602" spans="1:17" s="132" customFormat="1" ht="38.25">
      <c r="A602" s="201"/>
      <c r="B602" s="195" t="s">
        <v>690</v>
      </c>
      <c r="C602" s="215">
        <v>4923.5</v>
      </c>
      <c r="D602" s="215">
        <v>4923.5</v>
      </c>
      <c r="E602" s="215"/>
      <c r="F602" s="215">
        <f t="shared" si="35"/>
        <v>4922</v>
      </c>
      <c r="G602" s="215">
        <v>4922</v>
      </c>
      <c r="H602" s="215"/>
      <c r="I602" s="181"/>
      <c r="J602" s="181"/>
      <c r="K602" s="181"/>
      <c r="L602" s="181"/>
      <c r="M602" s="181"/>
      <c r="N602" s="182"/>
      <c r="O602" s="190">
        <f t="shared" si="39"/>
        <v>99.969533868183206</v>
      </c>
      <c r="P602" s="190">
        <f t="shared" si="39"/>
        <v>99.969533868183206</v>
      </c>
      <c r="Q602" s="190"/>
    </row>
    <row r="603" spans="1:17" s="132" customFormat="1" ht="38.25">
      <c r="A603" s="201"/>
      <c r="B603" s="195" t="s">
        <v>691</v>
      </c>
      <c r="C603" s="215">
        <v>3909.8</v>
      </c>
      <c r="D603" s="215">
        <v>3909.8</v>
      </c>
      <c r="E603" s="215"/>
      <c r="F603" s="215">
        <f t="shared" si="35"/>
        <v>3910</v>
      </c>
      <c r="G603" s="215">
        <v>3910</v>
      </c>
      <c r="H603" s="215"/>
      <c r="I603" s="181"/>
      <c r="J603" s="181"/>
      <c r="K603" s="181"/>
      <c r="L603" s="181"/>
      <c r="M603" s="181"/>
      <c r="N603" s="182"/>
      <c r="O603" s="190">
        <f t="shared" si="39"/>
        <v>100.00511535116885</v>
      </c>
      <c r="P603" s="190">
        <f t="shared" si="39"/>
        <v>100.00511535116885</v>
      </c>
      <c r="Q603" s="190"/>
    </row>
    <row r="604" spans="1:17" s="132" customFormat="1" ht="25.5">
      <c r="A604" s="201"/>
      <c r="B604" s="195" t="s">
        <v>692</v>
      </c>
      <c r="C604" s="215">
        <v>4219.4110000000001</v>
      </c>
      <c r="D604" s="215">
        <v>4219.4110000000001</v>
      </c>
      <c r="E604" s="215"/>
      <c r="F604" s="215">
        <f t="shared" si="35"/>
        <v>4219</v>
      </c>
      <c r="G604" s="215">
        <v>4219</v>
      </c>
      <c r="H604" s="215"/>
      <c r="I604" s="181"/>
      <c r="J604" s="181"/>
      <c r="K604" s="181"/>
      <c r="L604" s="181"/>
      <c r="M604" s="181"/>
      <c r="N604" s="182"/>
      <c r="O604" s="190">
        <f t="shared" si="39"/>
        <v>99.99025930396445</v>
      </c>
      <c r="P604" s="190">
        <f t="shared" si="39"/>
        <v>99.99025930396445</v>
      </c>
      <c r="Q604" s="190"/>
    </row>
    <row r="605" spans="1:17" s="132" customFormat="1" ht="38.25">
      <c r="A605" s="201"/>
      <c r="B605" s="195" t="s">
        <v>693</v>
      </c>
      <c r="C605" s="215">
        <v>1045.2</v>
      </c>
      <c r="D605" s="215">
        <v>1045.2</v>
      </c>
      <c r="E605" s="215"/>
      <c r="F605" s="215">
        <f t="shared" si="35"/>
        <v>1045</v>
      </c>
      <c r="G605" s="215">
        <v>1045</v>
      </c>
      <c r="H605" s="215"/>
      <c r="I605" s="181"/>
      <c r="J605" s="181"/>
      <c r="K605" s="181"/>
      <c r="L605" s="181"/>
      <c r="M605" s="181"/>
      <c r="N605" s="182"/>
      <c r="O605" s="190">
        <f t="shared" si="39"/>
        <v>99.980864906238025</v>
      </c>
      <c r="P605" s="190">
        <f t="shared" si="39"/>
        <v>99.980864906238025</v>
      </c>
      <c r="Q605" s="190"/>
    </row>
    <row r="606" spans="1:17" s="132" customFormat="1" ht="51">
      <c r="A606" s="201"/>
      <c r="B606" s="195" t="s">
        <v>694</v>
      </c>
      <c r="C606" s="215">
        <v>28.085999999999999</v>
      </c>
      <c r="D606" s="215">
        <v>28.085999999999999</v>
      </c>
      <c r="E606" s="215"/>
      <c r="F606" s="215">
        <f t="shared" si="35"/>
        <v>28</v>
      </c>
      <c r="G606" s="215">
        <v>28</v>
      </c>
      <c r="H606" s="215"/>
      <c r="I606" s="181"/>
      <c r="J606" s="181"/>
      <c r="K606" s="181"/>
      <c r="L606" s="181"/>
      <c r="M606" s="181"/>
      <c r="N606" s="182"/>
      <c r="O606" s="190">
        <f t="shared" si="39"/>
        <v>99.693797621590832</v>
      </c>
      <c r="P606" s="190">
        <f t="shared" si="39"/>
        <v>99.693797621590832</v>
      </c>
      <c r="Q606" s="190"/>
    </row>
    <row r="607" spans="1:17" s="132" customFormat="1" ht="38.25">
      <c r="A607" s="201"/>
      <c r="B607" s="195" t="s">
        <v>695</v>
      </c>
      <c r="C607" s="215">
        <v>2348</v>
      </c>
      <c r="D607" s="215">
        <v>2348</v>
      </c>
      <c r="E607" s="215"/>
      <c r="F607" s="215">
        <f t="shared" si="35"/>
        <v>2240.5500000000002</v>
      </c>
      <c r="G607" s="215">
        <v>2240.5500000000002</v>
      </c>
      <c r="H607" s="215"/>
      <c r="I607" s="181"/>
      <c r="J607" s="181"/>
      <c r="K607" s="181"/>
      <c r="L607" s="181"/>
      <c r="M607" s="181"/>
      <c r="N607" s="182"/>
      <c r="O607" s="190">
        <f t="shared" si="39"/>
        <v>95.423764906303248</v>
      </c>
      <c r="P607" s="190">
        <f t="shared" si="39"/>
        <v>95.423764906303248</v>
      </c>
      <c r="Q607" s="190"/>
    </row>
    <row r="608" spans="1:17" s="132" customFormat="1" ht="12.75">
      <c r="A608" s="201"/>
      <c r="B608" s="195" t="s">
        <v>696</v>
      </c>
      <c r="C608" s="215">
        <v>500</v>
      </c>
      <c r="D608" s="215">
        <v>500</v>
      </c>
      <c r="E608" s="215"/>
      <c r="F608" s="215">
        <f t="shared" si="35"/>
        <v>500</v>
      </c>
      <c r="G608" s="215">
        <v>500</v>
      </c>
      <c r="H608" s="215"/>
      <c r="I608" s="181"/>
      <c r="J608" s="181"/>
      <c r="K608" s="181"/>
      <c r="L608" s="181"/>
      <c r="M608" s="181"/>
      <c r="N608" s="182"/>
      <c r="O608" s="190">
        <f t="shared" si="39"/>
        <v>100</v>
      </c>
      <c r="P608" s="190">
        <f t="shared" si="39"/>
        <v>100</v>
      </c>
      <c r="Q608" s="190"/>
    </row>
    <row r="609" spans="1:17" s="132" customFormat="1" ht="25.5">
      <c r="A609" s="201"/>
      <c r="B609" s="195" t="s">
        <v>697</v>
      </c>
      <c r="C609" s="215">
        <v>2000</v>
      </c>
      <c r="D609" s="215">
        <v>2000</v>
      </c>
      <c r="E609" s="215"/>
      <c r="F609" s="215">
        <f t="shared" si="35"/>
        <v>2000</v>
      </c>
      <c r="G609" s="215">
        <v>2000</v>
      </c>
      <c r="H609" s="215"/>
      <c r="I609" s="181"/>
      <c r="J609" s="181"/>
      <c r="K609" s="181"/>
      <c r="L609" s="181"/>
      <c r="M609" s="181"/>
      <c r="N609" s="182"/>
      <c r="O609" s="190">
        <f t="shared" si="39"/>
        <v>100</v>
      </c>
      <c r="P609" s="190">
        <f t="shared" si="39"/>
        <v>100</v>
      </c>
      <c r="Q609" s="190"/>
    </row>
    <row r="610" spans="1:17" s="132" customFormat="1" ht="12.75">
      <c r="A610" s="201"/>
      <c r="B610" s="195" t="s">
        <v>698</v>
      </c>
      <c r="C610" s="215">
        <v>500</v>
      </c>
      <c r="D610" s="215">
        <v>500</v>
      </c>
      <c r="E610" s="215"/>
      <c r="F610" s="215">
        <f t="shared" si="35"/>
        <v>500</v>
      </c>
      <c r="G610" s="215">
        <v>500</v>
      </c>
      <c r="H610" s="215"/>
      <c r="I610" s="181"/>
      <c r="J610" s="181"/>
      <c r="K610" s="181"/>
      <c r="L610" s="181"/>
      <c r="M610" s="181"/>
      <c r="N610" s="182"/>
      <c r="O610" s="190">
        <f t="shared" si="39"/>
        <v>100</v>
      </c>
      <c r="P610" s="190">
        <f t="shared" si="39"/>
        <v>100</v>
      </c>
      <c r="Q610" s="190"/>
    </row>
    <row r="611" spans="1:17" s="132" customFormat="1" ht="12.75">
      <c r="A611" s="201"/>
      <c r="B611" s="195" t="s">
        <v>699</v>
      </c>
      <c r="C611" s="215">
        <v>2000</v>
      </c>
      <c r="D611" s="215">
        <v>2000</v>
      </c>
      <c r="E611" s="215"/>
      <c r="F611" s="215">
        <f t="shared" si="35"/>
        <v>2000</v>
      </c>
      <c r="G611" s="215">
        <v>2000</v>
      </c>
      <c r="H611" s="215"/>
      <c r="I611" s="181"/>
      <c r="J611" s="181"/>
      <c r="K611" s="181"/>
      <c r="L611" s="181"/>
      <c r="M611" s="181"/>
      <c r="N611" s="182"/>
      <c r="O611" s="190">
        <f t="shared" si="39"/>
        <v>100</v>
      </c>
      <c r="P611" s="190">
        <f t="shared" si="39"/>
        <v>100</v>
      </c>
      <c r="Q611" s="190"/>
    </row>
    <row r="612" spans="1:17" s="132" customFormat="1" ht="25.5">
      <c r="A612" s="201"/>
      <c r="B612" s="195" t="s">
        <v>700</v>
      </c>
      <c r="C612" s="215">
        <v>550</v>
      </c>
      <c r="D612" s="215">
        <v>550</v>
      </c>
      <c r="E612" s="215"/>
      <c r="F612" s="215">
        <f t="shared" si="35"/>
        <v>550</v>
      </c>
      <c r="G612" s="215">
        <v>550</v>
      </c>
      <c r="H612" s="215"/>
      <c r="I612" s="181"/>
      <c r="J612" s="181"/>
      <c r="K612" s="181"/>
      <c r="L612" s="181"/>
      <c r="M612" s="181"/>
      <c r="N612" s="182"/>
      <c r="O612" s="190">
        <f t="shared" si="39"/>
        <v>100</v>
      </c>
      <c r="P612" s="190">
        <f t="shared" si="39"/>
        <v>100</v>
      </c>
      <c r="Q612" s="190"/>
    </row>
    <row r="613" spans="1:17" s="132" customFormat="1" ht="33.75" customHeight="1">
      <c r="A613" s="193" t="s">
        <v>701</v>
      </c>
      <c r="B613" s="194" t="s">
        <v>178</v>
      </c>
      <c r="C613" s="213">
        <v>87525.596000000005</v>
      </c>
      <c r="D613" s="213">
        <v>87525.596000000005</v>
      </c>
      <c r="E613" s="213"/>
      <c r="F613" s="213">
        <f t="shared" si="35"/>
        <v>70915.409</v>
      </c>
      <c r="G613" s="213">
        <f t="shared" ref="G613:H613" si="41">SUM(G614:G640)</f>
        <v>70915.409</v>
      </c>
      <c r="H613" s="213">
        <f t="shared" si="41"/>
        <v>0</v>
      </c>
      <c r="I613" s="181"/>
      <c r="J613" s="181"/>
      <c r="K613" s="181"/>
      <c r="L613" s="181"/>
      <c r="M613" s="181"/>
      <c r="N613" s="182"/>
      <c r="O613" s="190">
        <f t="shared" si="39"/>
        <v>81.02248055528807</v>
      </c>
      <c r="P613" s="190">
        <f t="shared" si="39"/>
        <v>81.02248055528807</v>
      </c>
      <c r="Q613" s="190"/>
    </row>
    <row r="614" spans="1:17" s="132" customFormat="1" ht="25.5">
      <c r="A614" s="201"/>
      <c r="B614" s="195" t="s">
        <v>702</v>
      </c>
      <c r="C614" s="215">
        <v>11000</v>
      </c>
      <c r="D614" s="215">
        <v>11000</v>
      </c>
      <c r="E614" s="215"/>
      <c r="F614" s="215">
        <f t="shared" si="35"/>
        <v>13828</v>
      </c>
      <c r="G614" s="215">
        <v>13828</v>
      </c>
      <c r="H614" s="215"/>
      <c r="I614" s="181"/>
      <c r="J614" s="181"/>
      <c r="K614" s="181"/>
      <c r="L614" s="181"/>
      <c r="M614" s="181"/>
      <c r="N614" s="182"/>
      <c r="O614" s="190">
        <f t="shared" si="39"/>
        <v>125.7090909090909</v>
      </c>
      <c r="P614" s="190">
        <f t="shared" si="39"/>
        <v>125.7090909090909</v>
      </c>
      <c r="Q614" s="190"/>
    </row>
    <row r="615" spans="1:17" s="132" customFormat="1" ht="25.5">
      <c r="A615" s="201"/>
      <c r="B615" s="195" t="s">
        <v>703</v>
      </c>
      <c r="C615" s="215">
        <v>77.62</v>
      </c>
      <c r="D615" s="215">
        <v>77.62</v>
      </c>
      <c r="E615" s="215"/>
      <c r="F615" s="215">
        <f t="shared" si="35"/>
        <v>78</v>
      </c>
      <c r="G615" s="215">
        <v>78</v>
      </c>
      <c r="H615" s="215"/>
      <c r="I615" s="181"/>
      <c r="J615" s="181"/>
      <c r="K615" s="181"/>
      <c r="L615" s="181"/>
      <c r="M615" s="181"/>
      <c r="N615" s="182"/>
      <c r="O615" s="190">
        <f t="shared" si="39"/>
        <v>100.48956454522029</v>
      </c>
      <c r="P615" s="190">
        <f t="shared" si="39"/>
        <v>100.48956454522029</v>
      </c>
      <c r="Q615" s="190"/>
    </row>
    <row r="616" spans="1:17" s="132" customFormat="1" ht="25.5">
      <c r="A616" s="201"/>
      <c r="B616" s="195" t="s">
        <v>704</v>
      </c>
      <c r="C616" s="215">
        <v>2900</v>
      </c>
      <c r="D616" s="215">
        <v>2900</v>
      </c>
      <c r="E616" s="215"/>
      <c r="F616" s="215">
        <f t="shared" si="35"/>
        <v>7718</v>
      </c>
      <c r="G616" s="215">
        <v>7718</v>
      </c>
      <c r="H616" s="215"/>
      <c r="I616" s="181"/>
      <c r="J616" s="181"/>
      <c r="K616" s="181"/>
      <c r="L616" s="181"/>
      <c r="M616" s="181"/>
      <c r="N616" s="182"/>
      <c r="O616" s="190">
        <f t="shared" si="39"/>
        <v>266.13793103448279</v>
      </c>
      <c r="P616" s="190">
        <f t="shared" si="39"/>
        <v>266.13793103448279</v>
      </c>
      <c r="Q616" s="190"/>
    </row>
    <row r="617" spans="1:17" s="132" customFormat="1" ht="12.75">
      <c r="A617" s="201"/>
      <c r="B617" s="195" t="s">
        <v>705</v>
      </c>
      <c r="C617" s="215">
        <v>14.048</v>
      </c>
      <c r="D617" s="215">
        <v>14.048</v>
      </c>
      <c r="E617" s="215"/>
      <c r="F617" s="215">
        <f t="shared" si="35"/>
        <v>14</v>
      </c>
      <c r="G617" s="215">
        <v>14</v>
      </c>
      <c r="H617" s="215"/>
      <c r="I617" s="181"/>
      <c r="J617" s="181"/>
      <c r="K617" s="181"/>
      <c r="L617" s="181"/>
      <c r="M617" s="181"/>
      <c r="N617" s="182"/>
      <c r="O617" s="190">
        <f t="shared" si="39"/>
        <v>99.658314350797255</v>
      </c>
      <c r="P617" s="190">
        <f t="shared" si="39"/>
        <v>99.658314350797255</v>
      </c>
      <c r="Q617" s="190"/>
    </row>
    <row r="618" spans="1:17" s="132" customFormat="1" ht="12.75">
      <c r="A618" s="201"/>
      <c r="B618" s="195" t="s">
        <v>706</v>
      </c>
      <c r="C618" s="215">
        <v>14.134</v>
      </c>
      <c r="D618" s="215">
        <v>14.134</v>
      </c>
      <c r="E618" s="215"/>
      <c r="F618" s="215">
        <f t="shared" si="35"/>
        <v>14</v>
      </c>
      <c r="G618" s="215">
        <v>14</v>
      </c>
      <c r="H618" s="215"/>
      <c r="I618" s="181"/>
      <c r="J618" s="181"/>
      <c r="K618" s="181"/>
      <c r="L618" s="181"/>
      <c r="M618" s="181"/>
      <c r="N618" s="182"/>
      <c r="O618" s="190">
        <f t="shared" si="39"/>
        <v>99.051931512664495</v>
      </c>
      <c r="P618" s="190">
        <f t="shared" si="39"/>
        <v>99.051931512664495</v>
      </c>
      <c r="Q618" s="190"/>
    </row>
    <row r="619" spans="1:17" s="132" customFormat="1" ht="12.75">
      <c r="A619" s="201"/>
      <c r="B619" s="195" t="s">
        <v>707</v>
      </c>
      <c r="C619" s="215">
        <v>13.827999999999999</v>
      </c>
      <c r="D619" s="215">
        <v>13.827999999999999</v>
      </c>
      <c r="E619" s="215"/>
      <c r="F619" s="215">
        <f t="shared" si="35"/>
        <v>14</v>
      </c>
      <c r="G619" s="215">
        <v>14</v>
      </c>
      <c r="H619" s="215"/>
      <c r="I619" s="181"/>
      <c r="J619" s="181"/>
      <c r="K619" s="181"/>
      <c r="L619" s="181"/>
      <c r="M619" s="181"/>
      <c r="N619" s="182"/>
      <c r="O619" s="190">
        <f t="shared" si="39"/>
        <v>101.24385305177901</v>
      </c>
      <c r="P619" s="190">
        <f t="shared" si="39"/>
        <v>101.24385305177901</v>
      </c>
      <c r="Q619" s="190"/>
    </row>
    <row r="620" spans="1:17" s="132" customFormat="1" ht="12.75">
      <c r="A620" s="201"/>
      <c r="B620" s="195" t="s">
        <v>708</v>
      </c>
      <c r="C620" s="215">
        <v>12.8</v>
      </c>
      <c r="D620" s="215">
        <v>12.8</v>
      </c>
      <c r="E620" s="215"/>
      <c r="F620" s="215">
        <f t="shared" si="35"/>
        <v>13</v>
      </c>
      <c r="G620" s="215">
        <v>13</v>
      </c>
      <c r="H620" s="215"/>
      <c r="I620" s="181"/>
      <c r="J620" s="181"/>
      <c r="K620" s="181"/>
      <c r="L620" s="181"/>
      <c r="M620" s="181"/>
      <c r="N620" s="182"/>
      <c r="O620" s="190">
        <f t="shared" si="39"/>
        <v>101.5625</v>
      </c>
      <c r="P620" s="190">
        <f t="shared" si="39"/>
        <v>101.5625</v>
      </c>
      <c r="Q620" s="190"/>
    </row>
    <row r="621" spans="1:17" s="132" customFormat="1" ht="12.75">
      <c r="A621" s="201"/>
      <c r="B621" s="195" t="s">
        <v>709</v>
      </c>
      <c r="C621" s="215">
        <v>8840</v>
      </c>
      <c r="D621" s="215">
        <v>8840</v>
      </c>
      <c r="E621" s="215"/>
      <c r="F621" s="215">
        <f t="shared" si="35"/>
        <v>8840</v>
      </c>
      <c r="G621" s="215">
        <v>8840</v>
      </c>
      <c r="H621" s="215"/>
      <c r="I621" s="181"/>
      <c r="J621" s="181"/>
      <c r="K621" s="181"/>
      <c r="L621" s="181"/>
      <c r="M621" s="181"/>
      <c r="N621" s="182"/>
      <c r="O621" s="190">
        <f t="shared" si="39"/>
        <v>100</v>
      </c>
      <c r="P621" s="190">
        <f t="shared" si="39"/>
        <v>100</v>
      </c>
      <c r="Q621" s="190"/>
    </row>
    <row r="622" spans="1:17" s="132" customFormat="1" ht="25.5">
      <c r="A622" s="214"/>
      <c r="B622" s="195" t="s">
        <v>710</v>
      </c>
      <c r="C622" s="215">
        <v>5695</v>
      </c>
      <c r="D622" s="215">
        <v>5695</v>
      </c>
      <c r="E622" s="215"/>
      <c r="F622" s="215">
        <f t="shared" si="35"/>
        <v>5164</v>
      </c>
      <c r="G622" s="215">
        <v>5164</v>
      </c>
      <c r="H622" s="215"/>
      <c r="I622" s="181"/>
      <c r="J622" s="181"/>
      <c r="K622" s="181"/>
      <c r="L622" s="181"/>
      <c r="M622" s="181"/>
      <c r="N622" s="182"/>
      <c r="O622" s="190">
        <f t="shared" si="39"/>
        <v>90.676031606672524</v>
      </c>
      <c r="P622" s="190">
        <f t="shared" si="39"/>
        <v>90.676031606672524</v>
      </c>
      <c r="Q622" s="190"/>
    </row>
    <row r="623" spans="1:17" s="132" customFormat="1" ht="12.75">
      <c r="A623" s="201"/>
      <c r="B623" s="195" t="s">
        <v>711</v>
      </c>
      <c r="C623" s="215">
        <v>43.826000000000001</v>
      </c>
      <c r="D623" s="215">
        <v>43.826000000000001</v>
      </c>
      <c r="E623" s="215"/>
      <c r="F623" s="215">
        <f t="shared" si="35"/>
        <v>44</v>
      </c>
      <c r="G623" s="215">
        <v>44</v>
      </c>
      <c r="H623" s="215"/>
      <c r="I623" s="181"/>
      <c r="J623" s="181"/>
      <c r="K623" s="181"/>
      <c r="L623" s="181"/>
      <c r="M623" s="181"/>
      <c r="N623" s="182"/>
      <c r="O623" s="190">
        <f t="shared" si="39"/>
        <v>100.39702459727103</v>
      </c>
      <c r="P623" s="190">
        <f t="shared" si="39"/>
        <v>100.39702459727103</v>
      </c>
      <c r="Q623" s="190"/>
    </row>
    <row r="624" spans="1:17" s="132" customFormat="1" ht="12.75">
      <c r="A624" s="201"/>
      <c r="B624" s="195" t="s">
        <v>712</v>
      </c>
      <c r="C624" s="215">
        <v>13.558999999999999</v>
      </c>
      <c r="D624" s="215">
        <v>13.558999999999999</v>
      </c>
      <c r="E624" s="215"/>
      <c r="F624" s="215">
        <f t="shared" si="35"/>
        <v>14</v>
      </c>
      <c r="G624" s="215">
        <v>14</v>
      </c>
      <c r="H624" s="215"/>
      <c r="I624" s="181"/>
      <c r="J624" s="181"/>
      <c r="K624" s="181"/>
      <c r="L624" s="181"/>
      <c r="M624" s="181"/>
      <c r="N624" s="182"/>
      <c r="O624" s="190">
        <f t="shared" si="39"/>
        <v>103.25245224574084</v>
      </c>
      <c r="P624" s="190">
        <f t="shared" si="39"/>
        <v>103.25245224574084</v>
      </c>
      <c r="Q624" s="190"/>
    </row>
    <row r="625" spans="1:17" s="132" customFormat="1" ht="12.75">
      <c r="A625" s="201"/>
      <c r="B625" s="195" t="s">
        <v>713</v>
      </c>
      <c r="C625" s="215">
        <v>514</v>
      </c>
      <c r="D625" s="215">
        <v>514</v>
      </c>
      <c r="E625" s="215"/>
      <c r="F625" s="215">
        <f t="shared" si="35"/>
        <v>514</v>
      </c>
      <c r="G625" s="215">
        <v>514</v>
      </c>
      <c r="H625" s="215"/>
      <c r="I625" s="181"/>
      <c r="J625" s="181"/>
      <c r="K625" s="181"/>
      <c r="L625" s="181"/>
      <c r="M625" s="181"/>
      <c r="N625" s="182"/>
      <c r="O625" s="190">
        <f t="shared" si="39"/>
        <v>100</v>
      </c>
      <c r="P625" s="190">
        <f t="shared" si="39"/>
        <v>100</v>
      </c>
      <c r="Q625" s="190"/>
    </row>
    <row r="626" spans="1:17" s="132" customFormat="1" ht="12.75">
      <c r="A626" s="201"/>
      <c r="B626" s="195" t="s">
        <v>714</v>
      </c>
      <c r="C626" s="215">
        <v>13.166</v>
      </c>
      <c r="D626" s="215">
        <v>13.166</v>
      </c>
      <c r="E626" s="215"/>
      <c r="F626" s="215">
        <f t="shared" si="35"/>
        <v>13</v>
      </c>
      <c r="G626" s="215">
        <v>13</v>
      </c>
      <c r="H626" s="215"/>
      <c r="I626" s="181"/>
      <c r="J626" s="181"/>
      <c r="K626" s="181"/>
      <c r="L626" s="181"/>
      <c r="M626" s="181"/>
      <c r="N626" s="182"/>
      <c r="O626" s="190">
        <f t="shared" si="39"/>
        <v>98.739176667173027</v>
      </c>
      <c r="P626" s="190">
        <f t="shared" si="39"/>
        <v>98.739176667173027</v>
      </c>
      <c r="Q626" s="190"/>
    </row>
    <row r="627" spans="1:17" s="132" customFormat="1" ht="12.75">
      <c r="A627" s="201"/>
      <c r="B627" s="195" t="s">
        <v>715</v>
      </c>
      <c r="C627" s="215">
        <v>10.86</v>
      </c>
      <c r="D627" s="215">
        <v>10.86</v>
      </c>
      <c r="E627" s="215"/>
      <c r="F627" s="215">
        <f t="shared" si="35"/>
        <v>11</v>
      </c>
      <c r="G627" s="215">
        <v>11</v>
      </c>
      <c r="H627" s="215"/>
      <c r="I627" s="181"/>
      <c r="J627" s="181"/>
      <c r="K627" s="181"/>
      <c r="L627" s="181"/>
      <c r="M627" s="181"/>
      <c r="N627" s="182"/>
      <c r="O627" s="190">
        <f t="shared" si="39"/>
        <v>101.28913443830572</v>
      </c>
      <c r="P627" s="190">
        <f t="shared" si="39"/>
        <v>101.28913443830572</v>
      </c>
      <c r="Q627" s="190"/>
    </row>
    <row r="628" spans="1:17" s="132" customFormat="1" ht="12.75">
      <c r="A628" s="201"/>
      <c r="B628" s="195" t="s">
        <v>716</v>
      </c>
      <c r="C628" s="215">
        <v>13.78</v>
      </c>
      <c r="D628" s="215">
        <v>13.78</v>
      </c>
      <c r="E628" s="215"/>
      <c r="F628" s="215">
        <f t="shared" si="35"/>
        <v>14</v>
      </c>
      <c r="G628" s="215">
        <v>14</v>
      </c>
      <c r="H628" s="215"/>
      <c r="I628" s="181"/>
      <c r="J628" s="181"/>
      <c r="K628" s="181"/>
      <c r="L628" s="181"/>
      <c r="M628" s="181"/>
      <c r="N628" s="182"/>
      <c r="O628" s="190">
        <f t="shared" si="39"/>
        <v>101.59651669085632</v>
      </c>
      <c r="P628" s="190">
        <f t="shared" si="39"/>
        <v>101.59651669085632</v>
      </c>
      <c r="Q628" s="190"/>
    </row>
    <row r="629" spans="1:17" s="132" customFormat="1" ht="12.75">
      <c r="A629" s="201"/>
      <c r="B629" s="195" t="s">
        <v>717</v>
      </c>
      <c r="C629" s="215">
        <v>13.664</v>
      </c>
      <c r="D629" s="215">
        <v>13.664</v>
      </c>
      <c r="E629" s="215"/>
      <c r="F629" s="215">
        <f t="shared" si="35"/>
        <v>14</v>
      </c>
      <c r="G629" s="215">
        <v>14</v>
      </c>
      <c r="H629" s="215"/>
      <c r="I629" s="181"/>
      <c r="J629" s="181"/>
      <c r="K629" s="181"/>
      <c r="L629" s="181"/>
      <c r="M629" s="181"/>
      <c r="N629" s="182"/>
      <c r="O629" s="190">
        <f t="shared" si="39"/>
        <v>102.45901639344261</v>
      </c>
      <c r="P629" s="190">
        <f t="shared" si="39"/>
        <v>102.45901639344261</v>
      </c>
      <c r="Q629" s="190"/>
    </row>
    <row r="630" spans="1:17" s="132" customFormat="1" ht="25.5">
      <c r="A630" s="201"/>
      <c r="B630" s="195" t="s">
        <v>718</v>
      </c>
      <c r="C630" s="215">
        <v>0</v>
      </c>
      <c r="D630" s="215">
        <v>0</v>
      </c>
      <c r="E630" s="215"/>
      <c r="F630" s="215">
        <f t="shared" si="35"/>
        <v>0</v>
      </c>
      <c r="G630" s="215"/>
      <c r="H630" s="215"/>
      <c r="I630" s="181"/>
      <c r="J630" s="181"/>
      <c r="K630" s="181"/>
      <c r="L630" s="181"/>
      <c r="M630" s="181"/>
      <c r="N630" s="182"/>
      <c r="O630" s="190"/>
      <c r="P630" s="190"/>
      <c r="Q630" s="190"/>
    </row>
    <row r="631" spans="1:17" s="132" customFormat="1" ht="51">
      <c r="A631" s="201"/>
      <c r="B631" s="195" t="s">
        <v>719</v>
      </c>
      <c r="C631" s="215">
        <v>6800</v>
      </c>
      <c r="D631" s="215">
        <v>6800</v>
      </c>
      <c r="E631" s="215"/>
      <c r="F631" s="215">
        <f t="shared" si="35"/>
        <v>6687.4089999999997</v>
      </c>
      <c r="G631" s="215">
        <v>6687.4089999999997</v>
      </c>
      <c r="H631" s="215"/>
      <c r="I631" s="181"/>
      <c r="J631" s="181"/>
      <c r="K631" s="181"/>
      <c r="L631" s="181"/>
      <c r="M631" s="181"/>
      <c r="N631" s="182"/>
      <c r="O631" s="190">
        <f t="shared" si="39"/>
        <v>98.344250000000002</v>
      </c>
      <c r="P631" s="190">
        <f t="shared" si="39"/>
        <v>98.344250000000002</v>
      </c>
      <c r="Q631" s="190"/>
    </row>
    <row r="632" spans="1:17" s="132" customFormat="1" ht="12.75">
      <c r="A632" s="201"/>
      <c r="B632" s="195" t="s">
        <v>720</v>
      </c>
      <c r="C632" s="215">
        <v>9.9019999999999992</v>
      </c>
      <c r="D632" s="215">
        <v>9.9019999999999992</v>
      </c>
      <c r="E632" s="215"/>
      <c r="F632" s="215">
        <f t="shared" si="35"/>
        <v>10</v>
      </c>
      <c r="G632" s="215">
        <v>10</v>
      </c>
      <c r="H632" s="215"/>
      <c r="I632" s="181"/>
      <c r="J632" s="181"/>
      <c r="K632" s="181"/>
      <c r="L632" s="181"/>
      <c r="M632" s="181"/>
      <c r="N632" s="182"/>
      <c r="O632" s="190">
        <f t="shared" si="39"/>
        <v>100.98969905069683</v>
      </c>
      <c r="P632" s="190">
        <f t="shared" si="39"/>
        <v>100.98969905069683</v>
      </c>
      <c r="Q632" s="190"/>
    </row>
    <row r="633" spans="1:17" s="132" customFormat="1" ht="12.75">
      <c r="A633" s="201"/>
      <c r="B633" s="195" t="s">
        <v>721</v>
      </c>
      <c r="C633" s="215">
        <v>9.4570000000000007</v>
      </c>
      <c r="D633" s="215">
        <v>9.4570000000000007</v>
      </c>
      <c r="E633" s="215"/>
      <c r="F633" s="215">
        <f t="shared" ref="F633:F696" si="42">G633+L633</f>
        <v>9</v>
      </c>
      <c r="G633" s="215">
        <v>9</v>
      </c>
      <c r="H633" s="215"/>
      <c r="I633" s="181"/>
      <c r="J633" s="181"/>
      <c r="K633" s="181"/>
      <c r="L633" s="181"/>
      <c r="M633" s="181"/>
      <c r="N633" s="182"/>
      <c r="O633" s="190">
        <f t="shared" si="39"/>
        <v>95.167600719044088</v>
      </c>
      <c r="P633" s="190">
        <f t="shared" si="39"/>
        <v>95.167600719044088</v>
      </c>
      <c r="Q633" s="190"/>
    </row>
    <row r="634" spans="1:17" s="132" customFormat="1" ht="12.75">
      <c r="A634" s="201"/>
      <c r="B634" s="195" t="s">
        <v>722</v>
      </c>
      <c r="C634" s="215">
        <v>9.1069999999999993</v>
      </c>
      <c r="D634" s="215">
        <v>9.1069999999999993</v>
      </c>
      <c r="E634" s="215"/>
      <c r="F634" s="215">
        <f t="shared" si="42"/>
        <v>9</v>
      </c>
      <c r="G634" s="215">
        <v>9</v>
      </c>
      <c r="H634" s="215"/>
      <c r="I634" s="181"/>
      <c r="J634" s="181"/>
      <c r="K634" s="181"/>
      <c r="L634" s="181"/>
      <c r="M634" s="181"/>
      <c r="N634" s="182"/>
      <c r="O634" s="190">
        <f t="shared" si="39"/>
        <v>98.825079609091915</v>
      </c>
      <c r="P634" s="190">
        <f t="shared" si="39"/>
        <v>98.825079609091915</v>
      </c>
      <c r="Q634" s="190"/>
    </row>
    <row r="635" spans="1:17" s="132" customFormat="1" ht="12.75">
      <c r="A635" s="201"/>
      <c r="B635" s="195" t="s">
        <v>723</v>
      </c>
      <c r="C635" s="215">
        <v>9.0939999999999994</v>
      </c>
      <c r="D635" s="215">
        <v>9.0939999999999994</v>
      </c>
      <c r="E635" s="215"/>
      <c r="F635" s="215">
        <f t="shared" si="42"/>
        <v>9</v>
      </c>
      <c r="G635" s="215">
        <v>9</v>
      </c>
      <c r="H635" s="215"/>
      <c r="I635" s="181"/>
      <c r="J635" s="181"/>
      <c r="K635" s="181"/>
      <c r="L635" s="181"/>
      <c r="M635" s="181"/>
      <c r="N635" s="182"/>
      <c r="O635" s="190">
        <f t="shared" si="39"/>
        <v>98.966351440510238</v>
      </c>
      <c r="P635" s="190">
        <f t="shared" si="39"/>
        <v>98.966351440510238</v>
      </c>
      <c r="Q635" s="190"/>
    </row>
    <row r="636" spans="1:17" s="132" customFormat="1" ht="12.75">
      <c r="A636" s="201"/>
      <c r="B636" s="195" t="s">
        <v>724</v>
      </c>
      <c r="C636" s="215">
        <v>9.7509999999999994</v>
      </c>
      <c r="D636" s="215">
        <v>9.7509999999999994</v>
      </c>
      <c r="E636" s="215"/>
      <c r="F636" s="215">
        <f t="shared" si="42"/>
        <v>10</v>
      </c>
      <c r="G636" s="215">
        <v>10</v>
      </c>
      <c r="H636" s="215"/>
      <c r="I636" s="181"/>
      <c r="J636" s="181"/>
      <c r="K636" s="181"/>
      <c r="L636" s="181"/>
      <c r="M636" s="181"/>
      <c r="N636" s="182"/>
      <c r="O636" s="190">
        <f t="shared" si="39"/>
        <v>102.55358424776946</v>
      </c>
      <c r="P636" s="190">
        <f t="shared" si="39"/>
        <v>102.55358424776946</v>
      </c>
      <c r="Q636" s="190"/>
    </row>
    <row r="637" spans="1:17" s="132" customFormat="1" ht="38.25">
      <c r="A637" s="201"/>
      <c r="B637" s="195" t="s">
        <v>725</v>
      </c>
      <c r="C637" s="215">
        <v>10650</v>
      </c>
      <c r="D637" s="215">
        <v>10650</v>
      </c>
      <c r="E637" s="215"/>
      <c r="F637" s="215">
        <f t="shared" si="42"/>
        <v>10807</v>
      </c>
      <c r="G637" s="215">
        <v>10807</v>
      </c>
      <c r="H637" s="215"/>
      <c r="I637" s="181"/>
      <c r="J637" s="181"/>
      <c r="K637" s="181"/>
      <c r="L637" s="181"/>
      <c r="M637" s="181"/>
      <c r="N637" s="182"/>
      <c r="O637" s="190">
        <f t="shared" si="39"/>
        <v>101.47417840375587</v>
      </c>
      <c r="P637" s="190">
        <f t="shared" si="39"/>
        <v>101.47417840375587</v>
      </c>
      <c r="Q637" s="190"/>
    </row>
    <row r="638" spans="1:17" s="132" customFormat="1" ht="38.25">
      <c r="A638" s="201"/>
      <c r="B638" s="195" t="s">
        <v>726</v>
      </c>
      <c r="C638" s="215">
        <v>29838</v>
      </c>
      <c r="D638" s="215">
        <v>29838</v>
      </c>
      <c r="E638" s="215"/>
      <c r="F638" s="215">
        <f t="shared" si="42"/>
        <v>15389</v>
      </c>
      <c r="G638" s="215">
        <v>15389</v>
      </c>
      <c r="H638" s="215"/>
      <c r="I638" s="181"/>
      <c r="J638" s="181"/>
      <c r="K638" s="181"/>
      <c r="L638" s="181"/>
      <c r="M638" s="181"/>
      <c r="N638" s="182"/>
      <c r="O638" s="190">
        <f t="shared" si="39"/>
        <v>51.575172598699645</v>
      </c>
      <c r="P638" s="190">
        <f t="shared" si="39"/>
        <v>51.575172598699645</v>
      </c>
      <c r="Q638" s="190"/>
    </row>
    <row r="639" spans="1:17" s="132" customFormat="1" ht="12.75">
      <c r="A639" s="201"/>
      <c r="B639" s="195" t="s">
        <v>727</v>
      </c>
      <c r="C639" s="215">
        <v>5500</v>
      </c>
      <c r="D639" s="215">
        <v>5500</v>
      </c>
      <c r="E639" s="215"/>
      <c r="F639" s="215">
        <f t="shared" si="42"/>
        <v>862</v>
      </c>
      <c r="G639" s="215">
        <v>862</v>
      </c>
      <c r="H639" s="215"/>
      <c r="I639" s="181"/>
      <c r="J639" s="181"/>
      <c r="K639" s="181"/>
      <c r="L639" s="181"/>
      <c r="M639" s="181"/>
      <c r="N639" s="182"/>
      <c r="O639" s="190">
        <f t="shared" si="39"/>
        <v>15.672727272727272</v>
      </c>
      <c r="P639" s="190">
        <f t="shared" si="39"/>
        <v>15.672727272727272</v>
      </c>
      <c r="Q639" s="190"/>
    </row>
    <row r="640" spans="1:17" s="132" customFormat="1" ht="12.75">
      <c r="A640" s="201"/>
      <c r="B640" s="195" t="s">
        <v>728</v>
      </c>
      <c r="C640" s="215">
        <v>5500</v>
      </c>
      <c r="D640" s="215">
        <v>5500</v>
      </c>
      <c r="E640" s="215"/>
      <c r="F640" s="215">
        <f t="shared" si="42"/>
        <v>816</v>
      </c>
      <c r="G640" s="215">
        <v>816</v>
      </c>
      <c r="H640" s="215"/>
      <c r="I640" s="181"/>
      <c r="J640" s="181"/>
      <c r="K640" s="181"/>
      <c r="L640" s="181"/>
      <c r="M640" s="181"/>
      <c r="N640" s="182"/>
      <c r="O640" s="190">
        <f t="shared" si="39"/>
        <v>14.836363636363636</v>
      </c>
      <c r="P640" s="190">
        <f t="shared" si="39"/>
        <v>14.836363636363636</v>
      </c>
      <c r="Q640" s="190"/>
    </row>
    <row r="641" spans="1:17" s="132" customFormat="1" ht="12.75">
      <c r="A641" s="193" t="s">
        <v>729</v>
      </c>
      <c r="B641" s="194" t="s">
        <v>181</v>
      </c>
      <c r="C641" s="213">
        <v>21243.092000000001</v>
      </c>
      <c r="D641" s="213">
        <v>21243.092000000001</v>
      </c>
      <c r="E641" s="213"/>
      <c r="F641" s="213">
        <f t="shared" si="42"/>
        <v>64937</v>
      </c>
      <c r="G641" s="213">
        <f>SUM(G642:G644)</f>
        <v>64937</v>
      </c>
      <c r="H641" s="213">
        <f t="shared" ref="H641" si="43">SUM(H642:H644)</f>
        <v>0</v>
      </c>
      <c r="I641" s="181"/>
      <c r="J641" s="181"/>
      <c r="K641" s="181"/>
      <c r="L641" s="181"/>
      <c r="M641" s="181"/>
      <c r="N641" s="182"/>
      <c r="O641" s="190">
        <f t="shared" si="39"/>
        <v>305.68525523497237</v>
      </c>
      <c r="P641" s="190">
        <f t="shared" si="39"/>
        <v>305.68525523497237</v>
      </c>
      <c r="Q641" s="190"/>
    </row>
    <row r="642" spans="1:17" s="132" customFormat="1" ht="25.5">
      <c r="A642" s="201"/>
      <c r="B642" s="195" t="s">
        <v>730</v>
      </c>
      <c r="C642" s="215">
        <v>243.09200000000001</v>
      </c>
      <c r="D642" s="215">
        <v>243.09200000000001</v>
      </c>
      <c r="E642" s="215"/>
      <c r="F642" s="215">
        <f t="shared" si="42"/>
        <v>243</v>
      </c>
      <c r="G642" s="215">
        <v>243</v>
      </c>
      <c r="H642" s="215"/>
      <c r="I642" s="181"/>
      <c r="J642" s="181"/>
      <c r="K642" s="181"/>
      <c r="L642" s="181"/>
      <c r="M642" s="181"/>
      <c r="N642" s="182"/>
      <c r="O642" s="190">
        <f t="shared" si="39"/>
        <v>99.962154246129032</v>
      </c>
      <c r="P642" s="190">
        <f t="shared" si="39"/>
        <v>99.962154246129032</v>
      </c>
      <c r="Q642" s="190"/>
    </row>
    <row r="643" spans="1:17" s="132" customFormat="1" ht="38.25">
      <c r="A643" s="201"/>
      <c r="B643" s="195" t="s">
        <v>731</v>
      </c>
      <c r="C643" s="215">
        <v>11000</v>
      </c>
      <c r="D643" s="215">
        <v>11000</v>
      </c>
      <c r="E643" s="215"/>
      <c r="F643" s="215">
        <f t="shared" si="42"/>
        <v>10675</v>
      </c>
      <c r="G643" s="215">
        <v>10675</v>
      </c>
      <c r="H643" s="215"/>
      <c r="I643" s="181"/>
      <c r="J643" s="181"/>
      <c r="K643" s="181"/>
      <c r="L643" s="181"/>
      <c r="M643" s="181"/>
      <c r="N643" s="182"/>
      <c r="O643" s="190">
        <f t="shared" si="39"/>
        <v>97.045454545454547</v>
      </c>
      <c r="P643" s="190">
        <f t="shared" si="39"/>
        <v>97.045454545454547</v>
      </c>
      <c r="Q643" s="190"/>
    </row>
    <row r="644" spans="1:17" s="132" customFormat="1" ht="38.25">
      <c r="A644" s="201"/>
      <c r="B644" s="195" t="s">
        <v>732</v>
      </c>
      <c r="C644" s="215">
        <v>10000</v>
      </c>
      <c r="D644" s="215">
        <v>10000</v>
      </c>
      <c r="E644" s="215"/>
      <c r="F644" s="215">
        <f t="shared" si="42"/>
        <v>54019</v>
      </c>
      <c r="G644" s="215">
        <v>54019</v>
      </c>
      <c r="H644" s="215"/>
      <c r="I644" s="181"/>
      <c r="J644" s="181"/>
      <c r="K644" s="181"/>
      <c r="L644" s="181"/>
      <c r="M644" s="181"/>
      <c r="N644" s="182"/>
      <c r="O644" s="190">
        <f t="shared" si="39"/>
        <v>540.19000000000005</v>
      </c>
      <c r="P644" s="190">
        <f t="shared" si="39"/>
        <v>540.19000000000005</v>
      </c>
      <c r="Q644" s="190"/>
    </row>
    <row r="645" spans="1:17" s="132" customFormat="1" ht="12.75">
      <c r="A645" s="193" t="s">
        <v>733</v>
      </c>
      <c r="B645" s="194" t="s">
        <v>734</v>
      </c>
      <c r="C645" s="213">
        <v>13152.046</v>
      </c>
      <c r="D645" s="213">
        <v>13152.046</v>
      </c>
      <c r="E645" s="213"/>
      <c r="F645" s="213">
        <f t="shared" si="42"/>
        <v>8282</v>
      </c>
      <c r="G645" s="213">
        <f>SUM(G646:G650)</f>
        <v>8282</v>
      </c>
      <c r="H645" s="213">
        <f t="shared" ref="H645" si="44">SUM(H646:H650)</f>
        <v>0</v>
      </c>
      <c r="I645" s="181"/>
      <c r="J645" s="181"/>
      <c r="K645" s="181"/>
      <c r="L645" s="181"/>
      <c r="M645" s="181"/>
      <c r="N645" s="182"/>
      <c r="O645" s="190">
        <f t="shared" si="39"/>
        <v>62.971190946260378</v>
      </c>
      <c r="P645" s="190">
        <f t="shared" si="39"/>
        <v>62.971190946260378</v>
      </c>
      <c r="Q645" s="190"/>
    </row>
    <row r="646" spans="1:17" s="132" customFormat="1" ht="25.5">
      <c r="A646" s="214"/>
      <c r="B646" s="195" t="s">
        <v>735</v>
      </c>
      <c r="C646" s="215">
        <v>67.046000000000006</v>
      </c>
      <c r="D646" s="215">
        <v>67.046000000000006</v>
      </c>
      <c r="E646" s="215"/>
      <c r="F646" s="215">
        <f t="shared" si="42"/>
        <v>67</v>
      </c>
      <c r="G646" s="215">
        <v>67</v>
      </c>
      <c r="H646" s="215"/>
      <c r="I646" s="181"/>
      <c r="J646" s="181"/>
      <c r="K646" s="181"/>
      <c r="L646" s="181"/>
      <c r="M646" s="181"/>
      <c r="N646" s="182"/>
      <c r="O646" s="190">
        <f t="shared" si="39"/>
        <v>99.931390388688357</v>
      </c>
      <c r="P646" s="190">
        <f t="shared" si="39"/>
        <v>99.931390388688357</v>
      </c>
      <c r="Q646" s="190"/>
    </row>
    <row r="647" spans="1:17" s="132" customFormat="1" ht="38.25">
      <c r="A647" s="201"/>
      <c r="B647" s="195" t="s">
        <v>736</v>
      </c>
      <c r="C647" s="215">
        <v>85</v>
      </c>
      <c r="D647" s="215">
        <v>85</v>
      </c>
      <c r="E647" s="215"/>
      <c r="F647" s="215">
        <f t="shared" si="42"/>
        <v>85</v>
      </c>
      <c r="G647" s="215">
        <v>85</v>
      </c>
      <c r="H647" s="215"/>
      <c r="I647" s="181"/>
      <c r="J647" s="181"/>
      <c r="K647" s="181"/>
      <c r="L647" s="181"/>
      <c r="M647" s="181"/>
      <c r="N647" s="182"/>
      <c r="O647" s="190">
        <f t="shared" si="39"/>
        <v>100</v>
      </c>
      <c r="P647" s="190">
        <f t="shared" si="39"/>
        <v>100</v>
      </c>
      <c r="Q647" s="190"/>
    </row>
    <row r="648" spans="1:17" s="132" customFormat="1" ht="25.5">
      <c r="A648" s="214"/>
      <c r="B648" s="195" t="s">
        <v>737</v>
      </c>
      <c r="C648" s="215">
        <v>1000</v>
      </c>
      <c r="D648" s="215">
        <v>1000</v>
      </c>
      <c r="E648" s="215"/>
      <c r="F648" s="215">
        <f t="shared" si="42"/>
        <v>1000</v>
      </c>
      <c r="G648" s="215">
        <v>1000</v>
      </c>
      <c r="H648" s="215"/>
      <c r="I648" s="181"/>
      <c r="J648" s="181"/>
      <c r="K648" s="181"/>
      <c r="L648" s="181"/>
      <c r="M648" s="181"/>
      <c r="N648" s="182"/>
      <c r="O648" s="190">
        <f t="shared" si="39"/>
        <v>100</v>
      </c>
      <c r="P648" s="190">
        <f t="shared" si="39"/>
        <v>100</v>
      </c>
      <c r="Q648" s="190"/>
    </row>
    <row r="649" spans="1:17" s="132" customFormat="1" ht="25.5">
      <c r="A649" s="201"/>
      <c r="B649" s="195" t="s">
        <v>738</v>
      </c>
      <c r="C649" s="215">
        <v>7000</v>
      </c>
      <c r="D649" s="215">
        <v>7000</v>
      </c>
      <c r="E649" s="215"/>
      <c r="F649" s="215">
        <f t="shared" si="42"/>
        <v>6587</v>
      </c>
      <c r="G649" s="215">
        <v>6587</v>
      </c>
      <c r="H649" s="215"/>
      <c r="I649" s="181"/>
      <c r="J649" s="181"/>
      <c r="K649" s="181"/>
      <c r="L649" s="181"/>
      <c r="M649" s="181"/>
      <c r="N649" s="182"/>
      <c r="O649" s="190">
        <f t="shared" si="39"/>
        <v>94.1</v>
      </c>
      <c r="P649" s="190">
        <f t="shared" si="39"/>
        <v>94.1</v>
      </c>
      <c r="Q649" s="190"/>
    </row>
    <row r="650" spans="1:17" s="132" customFormat="1" ht="25.5">
      <c r="A650" s="201"/>
      <c r="B650" s="195" t="s">
        <v>739</v>
      </c>
      <c r="C650" s="215">
        <v>5000</v>
      </c>
      <c r="D650" s="215">
        <v>5000</v>
      </c>
      <c r="E650" s="215"/>
      <c r="F650" s="215">
        <f t="shared" si="42"/>
        <v>543</v>
      </c>
      <c r="G650" s="215">
        <v>543</v>
      </c>
      <c r="H650" s="215"/>
      <c r="I650" s="181"/>
      <c r="J650" s="181"/>
      <c r="K650" s="181"/>
      <c r="L650" s="181"/>
      <c r="M650" s="181"/>
      <c r="N650" s="182"/>
      <c r="O650" s="190">
        <f t="shared" si="39"/>
        <v>10.86</v>
      </c>
      <c r="P650" s="190">
        <f t="shared" si="39"/>
        <v>10.86</v>
      </c>
      <c r="Q650" s="190"/>
    </row>
    <row r="651" spans="1:17" s="132" customFormat="1" ht="12.75">
      <c r="A651" s="193" t="s">
        <v>740</v>
      </c>
      <c r="B651" s="194" t="s">
        <v>182</v>
      </c>
      <c r="C651" s="213">
        <v>9373</v>
      </c>
      <c r="D651" s="213">
        <v>9373</v>
      </c>
      <c r="E651" s="213"/>
      <c r="F651" s="213">
        <f t="shared" si="42"/>
        <v>9260</v>
      </c>
      <c r="G651" s="213">
        <f t="shared" ref="G651:H651" si="45">SUM(G652:G655)</f>
        <v>9260</v>
      </c>
      <c r="H651" s="213">
        <f t="shared" si="45"/>
        <v>0</v>
      </c>
      <c r="I651" s="181"/>
      <c r="J651" s="181"/>
      <c r="K651" s="181"/>
      <c r="L651" s="181"/>
      <c r="M651" s="181"/>
      <c r="N651" s="182"/>
      <c r="O651" s="190">
        <f t="shared" si="39"/>
        <v>98.794409474021123</v>
      </c>
      <c r="P651" s="190">
        <f t="shared" si="39"/>
        <v>98.794409474021123</v>
      </c>
      <c r="Q651" s="190"/>
    </row>
    <row r="652" spans="1:17" s="132" customFormat="1" ht="38.25">
      <c r="A652" s="201"/>
      <c r="B652" s="195" t="s">
        <v>741</v>
      </c>
      <c r="C652" s="215">
        <v>5573</v>
      </c>
      <c r="D652" s="215">
        <v>5573</v>
      </c>
      <c r="E652" s="215"/>
      <c r="F652" s="215">
        <f t="shared" si="42"/>
        <v>5573</v>
      </c>
      <c r="G652" s="215">
        <v>5573</v>
      </c>
      <c r="H652" s="215"/>
      <c r="I652" s="181"/>
      <c r="J652" s="181"/>
      <c r="K652" s="181"/>
      <c r="L652" s="181"/>
      <c r="M652" s="181"/>
      <c r="N652" s="182"/>
      <c r="O652" s="190">
        <f t="shared" si="39"/>
        <v>100</v>
      </c>
      <c r="P652" s="190">
        <f t="shared" si="39"/>
        <v>100</v>
      </c>
      <c r="Q652" s="190"/>
    </row>
    <row r="653" spans="1:17" s="132" customFormat="1" ht="38.25">
      <c r="A653" s="201"/>
      <c r="B653" s="195" t="s">
        <v>742</v>
      </c>
      <c r="C653" s="215">
        <v>0</v>
      </c>
      <c r="D653" s="215">
        <v>0</v>
      </c>
      <c r="E653" s="215"/>
      <c r="F653" s="215">
        <f t="shared" si="42"/>
        <v>271</v>
      </c>
      <c r="G653" s="215">
        <v>271</v>
      </c>
      <c r="H653" s="215"/>
      <c r="I653" s="181"/>
      <c r="J653" s="181"/>
      <c r="K653" s="181"/>
      <c r="L653" s="181"/>
      <c r="M653" s="181"/>
      <c r="N653" s="182"/>
      <c r="O653" s="190" t="e">
        <f t="shared" ref="O653:P683" si="46">F653/C653*100</f>
        <v>#DIV/0!</v>
      </c>
      <c r="P653" s="190" t="e">
        <f t="shared" si="46"/>
        <v>#DIV/0!</v>
      </c>
      <c r="Q653" s="190"/>
    </row>
    <row r="654" spans="1:17" s="132" customFormat="1" ht="25.5">
      <c r="A654" s="201"/>
      <c r="B654" s="195" t="s">
        <v>743</v>
      </c>
      <c r="C654" s="215">
        <v>3800</v>
      </c>
      <c r="D654" s="215">
        <v>3800</v>
      </c>
      <c r="E654" s="215"/>
      <c r="F654" s="215">
        <f t="shared" si="42"/>
        <v>2755</v>
      </c>
      <c r="G654" s="215">
        <v>2755</v>
      </c>
      <c r="H654" s="215"/>
      <c r="I654" s="181"/>
      <c r="J654" s="181"/>
      <c r="K654" s="181"/>
      <c r="L654" s="181"/>
      <c r="M654" s="181"/>
      <c r="N654" s="182"/>
      <c r="O654" s="190">
        <f t="shared" si="46"/>
        <v>72.5</v>
      </c>
      <c r="P654" s="190">
        <f t="shared" si="46"/>
        <v>72.5</v>
      </c>
      <c r="Q654" s="190"/>
    </row>
    <row r="655" spans="1:17" s="132" customFormat="1" ht="38.25">
      <c r="A655" s="201"/>
      <c r="B655" s="195" t="s">
        <v>744</v>
      </c>
      <c r="C655" s="215">
        <v>0</v>
      </c>
      <c r="D655" s="215">
        <v>0</v>
      </c>
      <c r="E655" s="215"/>
      <c r="F655" s="215">
        <f t="shared" si="42"/>
        <v>661</v>
      </c>
      <c r="G655" s="215">
        <v>661</v>
      </c>
      <c r="H655" s="215"/>
      <c r="I655" s="181"/>
      <c r="J655" s="181"/>
      <c r="K655" s="181"/>
      <c r="L655" s="181"/>
      <c r="M655" s="181"/>
      <c r="N655" s="182"/>
      <c r="O655" s="190"/>
      <c r="P655" s="190"/>
      <c r="Q655" s="190"/>
    </row>
    <row r="656" spans="1:17" s="132" customFormat="1" ht="12.75">
      <c r="A656" s="193" t="s">
        <v>745</v>
      </c>
      <c r="B656" s="194" t="s">
        <v>509</v>
      </c>
      <c r="C656" s="213">
        <v>5004.3360000000002</v>
      </c>
      <c r="D656" s="213">
        <v>5004.3360000000002</v>
      </c>
      <c r="E656" s="213"/>
      <c r="F656" s="213">
        <f t="shared" si="42"/>
        <v>527</v>
      </c>
      <c r="G656" s="213">
        <f>SUM(G657:G659)</f>
        <v>527</v>
      </c>
      <c r="H656" s="213">
        <f t="shared" ref="H656" si="47">SUM(H657:H659)</f>
        <v>0</v>
      </c>
      <c r="I656" s="181"/>
      <c r="J656" s="181"/>
      <c r="K656" s="181"/>
      <c r="L656" s="181"/>
      <c r="M656" s="181"/>
      <c r="N656" s="182"/>
      <c r="O656" s="190">
        <f t="shared" si="46"/>
        <v>10.530867631589885</v>
      </c>
      <c r="P656" s="190">
        <f t="shared" si="46"/>
        <v>10.530867631589885</v>
      </c>
      <c r="Q656" s="190"/>
    </row>
    <row r="657" spans="1:17" s="132" customFormat="1" ht="25.5">
      <c r="A657" s="201"/>
      <c r="B657" s="195" t="s">
        <v>746</v>
      </c>
      <c r="C657" s="215">
        <v>2.169</v>
      </c>
      <c r="D657" s="215">
        <v>2.169</v>
      </c>
      <c r="E657" s="215"/>
      <c r="F657" s="215">
        <f t="shared" si="42"/>
        <v>2</v>
      </c>
      <c r="G657" s="215">
        <v>2</v>
      </c>
      <c r="H657" s="215"/>
      <c r="I657" s="181"/>
      <c r="J657" s="181"/>
      <c r="K657" s="181"/>
      <c r="L657" s="181"/>
      <c r="M657" s="181"/>
      <c r="N657" s="182"/>
      <c r="O657" s="190">
        <f t="shared" si="46"/>
        <v>92.208390963577685</v>
      </c>
      <c r="P657" s="190">
        <f t="shared" si="46"/>
        <v>92.208390963577685</v>
      </c>
      <c r="Q657" s="190"/>
    </row>
    <row r="658" spans="1:17" s="132" customFormat="1" ht="25.5">
      <c r="A658" s="201"/>
      <c r="B658" s="195" t="s">
        <v>747</v>
      </c>
      <c r="C658" s="215">
        <v>2.1669999999999998</v>
      </c>
      <c r="D658" s="215">
        <v>2.1669999999999998</v>
      </c>
      <c r="E658" s="215"/>
      <c r="F658" s="215">
        <f t="shared" si="42"/>
        <v>2</v>
      </c>
      <c r="G658" s="215">
        <v>2</v>
      </c>
      <c r="H658" s="215"/>
      <c r="I658" s="181"/>
      <c r="J658" s="181"/>
      <c r="K658" s="181"/>
      <c r="L658" s="181"/>
      <c r="M658" s="181"/>
      <c r="N658" s="182"/>
      <c r="O658" s="190">
        <f t="shared" si="46"/>
        <v>92.293493308721736</v>
      </c>
      <c r="P658" s="190">
        <f t="shared" si="46"/>
        <v>92.293493308721736</v>
      </c>
      <c r="Q658" s="190"/>
    </row>
    <row r="659" spans="1:17" s="132" customFormat="1" ht="25.5">
      <c r="A659" s="201"/>
      <c r="B659" s="195" t="s">
        <v>748</v>
      </c>
      <c r="C659" s="215">
        <v>5000</v>
      </c>
      <c r="D659" s="215">
        <v>5000</v>
      </c>
      <c r="E659" s="215"/>
      <c r="F659" s="215">
        <f t="shared" si="42"/>
        <v>523</v>
      </c>
      <c r="G659" s="215">
        <v>523</v>
      </c>
      <c r="H659" s="215"/>
      <c r="I659" s="181"/>
      <c r="J659" s="181"/>
      <c r="K659" s="181"/>
      <c r="L659" s="181"/>
      <c r="M659" s="181"/>
      <c r="N659" s="182"/>
      <c r="O659" s="190">
        <f t="shared" si="46"/>
        <v>10.459999999999999</v>
      </c>
      <c r="P659" s="190">
        <f t="shared" si="46"/>
        <v>10.459999999999999</v>
      </c>
      <c r="Q659" s="190"/>
    </row>
    <row r="660" spans="1:17" s="132" customFormat="1" ht="12.75">
      <c r="A660" s="193" t="s">
        <v>749</v>
      </c>
      <c r="B660" s="194" t="s">
        <v>750</v>
      </c>
      <c r="C660" s="213">
        <v>42000</v>
      </c>
      <c r="D660" s="213">
        <v>42000</v>
      </c>
      <c r="E660" s="213"/>
      <c r="F660" s="213">
        <f t="shared" si="42"/>
        <v>39681</v>
      </c>
      <c r="G660" s="213">
        <f>G661</f>
        <v>39681</v>
      </c>
      <c r="H660" s="213">
        <f t="shared" ref="H660" si="48">H661</f>
        <v>0</v>
      </c>
      <c r="I660" s="181"/>
      <c r="J660" s="181"/>
      <c r="K660" s="181"/>
      <c r="L660" s="181"/>
      <c r="M660" s="181"/>
      <c r="N660" s="182"/>
      <c r="O660" s="190">
        <f t="shared" si="46"/>
        <v>94.478571428571428</v>
      </c>
      <c r="P660" s="190">
        <f t="shared" si="46"/>
        <v>94.478571428571428</v>
      </c>
      <c r="Q660" s="190"/>
    </row>
    <row r="661" spans="1:17" s="132" customFormat="1" ht="25.5">
      <c r="A661" s="201"/>
      <c r="B661" s="195" t="s">
        <v>751</v>
      </c>
      <c r="C661" s="215">
        <v>42000</v>
      </c>
      <c r="D661" s="215">
        <v>42000</v>
      </c>
      <c r="E661" s="215"/>
      <c r="F661" s="215">
        <f t="shared" si="42"/>
        <v>39681</v>
      </c>
      <c r="G661" s="215">
        <v>39681</v>
      </c>
      <c r="H661" s="215"/>
      <c r="I661" s="181"/>
      <c r="J661" s="181"/>
      <c r="K661" s="181"/>
      <c r="L661" s="181"/>
      <c r="M661" s="181"/>
      <c r="N661" s="182"/>
      <c r="O661" s="190">
        <f t="shared" si="46"/>
        <v>94.478571428571428</v>
      </c>
      <c r="P661" s="190">
        <f t="shared" si="46"/>
        <v>94.478571428571428</v>
      </c>
      <c r="Q661" s="190"/>
    </row>
    <row r="662" spans="1:17" s="132" customFormat="1" ht="12.75">
      <c r="A662" s="193" t="s">
        <v>752</v>
      </c>
      <c r="B662" s="194" t="s">
        <v>177</v>
      </c>
      <c r="C662" s="213">
        <v>10000</v>
      </c>
      <c r="D662" s="213">
        <v>10000</v>
      </c>
      <c r="E662" s="213"/>
      <c r="F662" s="213">
        <f t="shared" si="42"/>
        <v>15731</v>
      </c>
      <c r="G662" s="213">
        <f t="shared" ref="G662:H662" si="49">SUM(G663:G673)</f>
        <v>15731</v>
      </c>
      <c r="H662" s="213">
        <f t="shared" si="49"/>
        <v>0</v>
      </c>
      <c r="I662" s="181"/>
      <c r="J662" s="181"/>
      <c r="K662" s="181"/>
      <c r="L662" s="181"/>
      <c r="M662" s="181"/>
      <c r="N662" s="182"/>
      <c r="O662" s="190">
        <f t="shared" si="46"/>
        <v>157.31</v>
      </c>
      <c r="P662" s="190">
        <f t="shared" si="46"/>
        <v>157.31</v>
      </c>
      <c r="Q662" s="190"/>
    </row>
    <row r="663" spans="1:17" s="132" customFormat="1" ht="38.25">
      <c r="A663" s="201"/>
      <c r="B663" s="195" t="s">
        <v>753</v>
      </c>
      <c r="C663" s="215">
        <v>901</v>
      </c>
      <c r="D663" s="215">
        <v>901</v>
      </c>
      <c r="E663" s="215"/>
      <c r="F663" s="215">
        <f t="shared" si="42"/>
        <v>892</v>
      </c>
      <c r="G663" s="215">
        <v>892</v>
      </c>
      <c r="H663" s="215"/>
      <c r="I663" s="181"/>
      <c r="J663" s="181"/>
      <c r="K663" s="181"/>
      <c r="L663" s="181"/>
      <c r="M663" s="181"/>
      <c r="N663" s="182"/>
      <c r="O663" s="190">
        <f t="shared" si="46"/>
        <v>99.001109877913436</v>
      </c>
      <c r="P663" s="190">
        <f t="shared" si="46"/>
        <v>99.001109877913436</v>
      </c>
      <c r="Q663" s="190"/>
    </row>
    <row r="664" spans="1:17" s="132" customFormat="1" ht="25.5">
      <c r="A664" s="201"/>
      <c r="B664" s="195" t="s">
        <v>754</v>
      </c>
      <c r="C664" s="215">
        <v>1245</v>
      </c>
      <c r="D664" s="215">
        <v>1245</v>
      </c>
      <c r="E664" s="215"/>
      <c r="F664" s="215">
        <f t="shared" si="42"/>
        <v>1237</v>
      </c>
      <c r="G664" s="215">
        <v>1237</v>
      </c>
      <c r="H664" s="215"/>
      <c r="I664" s="181"/>
      <c r="J664" s="181"/>
      <c r="K664" s="181"/>
      <c r="L664" s="181"/>
      <c r="M664" s="181"/>
      <c r="N664" s="182"/>
      <c r="O664" s="190">
        <f t="shared" si="46"/>
        <v>99.357429718875494</v>
      </c>
      <c r="P664" s="190">
        <f t="shared" si="46"/>
        <v>99.357429718875494</v>
      </c>
      <c r="Q664" s="190"/>
    </row>
    <row r="665" spans="1:17" s="132" customFormat="1" ht="25.5">
      <c r="A665" s="201"/>
      <c r="B665" s="195" t="s">
        <v>755</v>
      </c>
      <c r="C665" s="215">
        <v>420</v>
      </c>
      <c r="D665" s="215">
        <v>420</v>
      </c>
      <c r="E665" s="215"/>
      <c r="F665" s="215">
        <f t="shared" si="42"/>
        <v>410</v>
      </c>
      <c r="G665" s="215">
        <v>410</v>
      </c>
      <c r="H665" s="215"/>
      <c r="I665" s="181"/>
      <c r="J665" s="181"/>
      <c r="K665" s="181"/>
      <c r="L665" s="181"/>
      <c r="M665" s="181"/>
      <c r="N665" s="182"/>
      <c r="O665" s="190">
        <f t="shared" si="46"/>
        <v>97.61904761904762</v>
      </c>
      <c r="P665" s="190">
        <f t="shared" si="46"/>
        <v>97.61904761904762</v>
      </c>
      <c r="Q665" s="190"/>
    </row>
    <row r="666" spans="1:17" s="132" customFormat="1" ht="25.5">
      <c r="A666" s="201"/>
      <c r="B666" s="195" t="s">
        <v>756</v>
      </c>
      <c r="C666" s="215">
        <v>0</v>
      </c>
      <c r="D666" s="215">
        <v>0</v>
      </c>
      <c r="E666" s="215"/>
      <c r="F666" s="215">
        <f t="shared" si="42"/>
        <v>892</v>
      </c>
      <c r="G666" s="215">
        <v>892</v>
      </c>
      <c r="H666" s="215"/>
      <c r="I666" s="181"/>
      <c r="J666" s="181"/>
      <c r="K666" s="181"/>
      <c r="L666" s="181"/>
      <c r="M666" s="181"/>
      <c r="N666" s="182"/>
      <c r="O666" s="190"/>
      <c r="P666" s="190"/>
      <c r="Q666" s="190"/>
    </row>
    <row r="667" spans="1:17" s="132" customFormat="1" ht="25.5">
      <c r="A667" s="201"/>
      <c r="B667" s="195" t="s">
        <v>757</v>
      </c>
      <c r="C667" s="215">
        <v>0</v>
      </c>
      <c r="D667" s="215">
        <v>0</v>
      </c>
      <c r="E667" s="215"/>
      <c r="F667" s="215">
        <f t="shared" si="42"/>
        <v>992</v>
      </c>
      <c r="G667" s="215">
        <v>992</v>
      </c>
      <c r="H667" s="215"/>
      <c r="I667" s="181"/>
      <c r="J667" s="181"/>
      <c r="K667" s="181"/>
      <c r="L667" s="181"/>
      <c r="M667" s="181"/>
      <c r="N667" s="182"/>
      <c r="O667" s="190"/>
      <c r="P667" s="190"/>
      <c r="Q667" s="190"/>
    </row>
    <row r="668" spans="1:17" s="132" customFormat="1" ht="25.5">
      <c r="A668" s="201"/>
      <c r="B668" s="195" t="s">
        <v>758</v>
      </c>
      <c r="C668" s="215">
        <v>0</v>
      </c>
      <c r="D668" s="215">
        <v>0</v>
      </c>
      <c r="E668" s="215"/>
      <c r="F668" s="215">
        <f t="shared" si="42"/>
        <v>990</v>
      </c>
      <c r="G668" s="215">
        <v>990</v>
      </c>
      <c r="H668" s="215"/>
      <c r="I668" s="181"/>
      <c r="J668" s="181"/>
      <c r="K668" s="181"/>
      <c r="L668" s="181"/>
      <c r="M668" s="181"/>
      <c r="N668" s="182"/>
      <c r="O668" s="190"/>
      <c r="P668" s="190"/>
      <c r="Q668" s="190"/>
    </row>
    <row r="669" spans="1:17" s="132" customFormat="1" ht="25.5">
      <c r="A669" s="201"/>
      <c r="B669" s="195" t="s">
        <v>759</v>
      </c>
      <c r="C669" s="215">
        <v>0</v>
      </c>
      <c r="D669" s="215">
        <v>0</v>
      </c>
      <c r="E669" s="215"/>
      <c r="F669" s="215">
        <f t="shared" si="42"/>
        <v>992</v>
      </c>
      <c r="G669" s="215">
        <v>992</v>
      </c>
      <c r="H669" s="215"/>
      <c r="I669" s="181"/>
      <c r="J669" s="181"/>
      <c r="K669" s="181"/>
      <c r="L669" s="181"/>
      <c r="M669" s="181"/>
      <c r="N669" s="182"/>
      <c r="O669" s="190"/>
      <c r="P669" s="190"/>
      <c r="Q669" s="190"/>
    </row>
    <row r="670" spans="1:17" s="132" customFormat="1" ht="25.5">
      <c r="A670" s="201"/>
      <c r="B670" s="195" t="s">
        <v>760</v>
      </c>
      <c r="C670" s="215">
        <v>0</v>
      </c>
      <c r="D670" s="215">
        <v>0</v>
      </c>
      <c r="E670" s="215"/>
      <c r="F670" s="215">
        <f t="shared" si="42"/>
        <v>1091</v>
      </c>
      <c r="G670" s="215">
        <v>1091</v>
      </c>
      <c r="H670" s="215"/>
      <c r="I670" s="181"/>
      <c r="J670" s="181"/>
      <c r="K670" s="181"/>
      <c r="L670" s="181"/>
      <c r="M670" s="181"/>
      <c r="N670" s="182"/>
      <c r="O670" s="190"/>
      <c r="P670" s="190"/>
      <c r="Q670" s="190"/>
    </row>
    <row r="671" spans="1:17" s="132" customFormat="1" ht="25.5">
      <c r="A671" s="201"/>
      <c r="B671" s="195" t="s">
        <v>761</v>
      </c>
      <c r="C671" s="215">
        <v>0</v>
      </c>
      <c r="D671" s="215">
        <v>0</v>
      </c>
      <c r="E671" s="215"/>
      <c r="F671" s="215">
        <f t="shared" si="42"/>
        <v>1089</v>
      </c>
      <c r="G671" s="215">
        <v>1089</v>
      </c>
      <c r="H671" s="215"/>
      <c r="I671" s="181"/>
      <c r="J671" s="181"/>
      <c r="K671" s="181"/>
      <c r="L671" s="181"/>
      <c r="M671" s="181"/>
      <c r="N671" s="182"/>
      <c r="O671" s="190"/>
      <c r="P671" s="190"/>
      <c r="Q671" s="190"/>
    </row>
    <row r="672" spans="1:17" s="132" customFormat="1" ht="25.5">
      <c r="A672" s="201"/>
      <c r="B672" s="195" t="s">
        <v>762</v>
      </c>
      <c r="C672" s="215">
        <v>3000</v>
      </c>
      <c r="D672" s="215">
        <v>3000</v>
      </c>
      <c r="E672" s="215"/>
      <c r="F672" s="215">
        <f t="shared" si="42"/>
        <v>2883</v>
      </c>
      <c r="G672" s="215">
        <v>2883</v>
      </c>
      <c r="H672" s="215"/>
      <c r="I672" s="181"/>
      <c r="J672" s="181"/>
      <c r="K672" s="181"/>
      <c r="L672" s="181"/>
      <c r="M672" s="181"/>
      <c r="N672" s="182"/>
      <c r="O672" s="190">
        <f t="shared" si="46"/>
        <v>96.1</v>
      </c>
      <c r="P672" s="190">
        <f t="shared" si="46"/>
        <v>96.1</v>
      </c>
      <c r="Q672" s="190"/>
    </row>
    <row r="673" spans="1:17" s="132" customFormat="1" ht="38.25">
      <c r="A673" s="201"/>
      <c r="B673" s="195" t="s">
        <v>763</v>
      </c>
      <c r="C673" s="215">
        <v>4434</v>
      </c>
      <c r="D673" s="215">
        <v>4434</v>
      </c>
      <c r="E673" s="215"/>
      <c r="F673" s="215">
        <f t="shared" si="42"/>
        <v>4263</v>
      </c>
      <c r="G673" s="215">
        <v>4263</v>
      </c>
      <c r="H673" s="215"/>
      <c r="I673" s="181"/>
      <c r="J673" s="181"/>
      <c r="K673" s="181"/>
      <c r="L673" s="181"/>
      <c r="M673" s="181"/>
      <c r="N673" s="182"/>
      <c r="O673" s="190">
        <f t="shared" si="46"/>
        <v>96.143437077131253</v>
      </c>
      <c r="P673" s="190">
        <f t="shared" si="46"/>
        <v>96.143437077131253</v>
      </c>
      <c r="Q673" s="190"/>
    </row>
    <row r="674" spans="1:17" s="132" customFormat="1" ht="12.75">
      <c r="A674" s="193" t="s">
        <v>764</v>
      </c>
      <c r="B674" s="194" t="s">
        <v>765</v>
      </c>
      <c r="C674" s="213">
        <v>29298</v>
      </c>
      <c r="D674" s="213">
        <v>29298</v>
      </c>
      <c r="E674" s="213"/>
      <c r="F674" s="213">
        <f t="shared" si="42"/>
        <v>20200</v>
      </c>
      <c r="G674" s="213">
        <f>SUM(G675:G679)</f>
        <v>20200</v>
      </c>
      <c r="H674" s="213"/>
      <c r="I674" s="181"/>
      <c r="J674" s="181"/>
      <c r="K674" s="181"/>
      <c r="L674" s="181"/>
      <c r="M674" s="181"/>
      <c r="N674" s="182"/>
      <c r="O674" s="190">
        <f t="shared" si="46"/>
        <v>68.946685780599353</v>
      </c>
      <c r="P674" s="190">
        <f t="shared" si="46"/>
        <v>68.946685780599353</v>
      </c>
      <c r="Q674" s="190"/>
    </row>
    <row r="675" spans="1:17" s="132" customFormat="1" ht="25.5">
      <c r="A675" s="201"/>
      <c r="B675" s="195" t="s">
        <v>766</v>
      </c>
      <c r="C675" s="215">
        <v>2038</v>
      </c>
      <c r="D675" s="215">
        <v>2038</v>
      </c>
      <c r="E675" s="215"/>
      <c r="F675" s="215">
        <f t="shared" si="42"/>
        <v>4715</v>
      </c>
      <c r="G675" s="215">
        <v>4715</v>
      </c>
      <c r="H675" s="215"/>
      <c r="I675" s="181"/>
      <c r="J675" s="181"/>
      <c r="K675" s="181"/>
      <c r="L675" s="181"/>
      <c r="M675" s="181"/>
      <c r="N675" s="182"/>
      <c r="O675" s="190">
        <f t="shared" si="46"/>
        <v>231.35426889106969</v>
      </c>
      <c r="P675" s="190">
        <f t="shared" si="46"/>
        <v>231.35426889106969</v>
      </c>
      <c r="Q675" s="190"/>
    </row>
    <row r="676" spans="1:17" s="132" customFormat="1" ht="25.5">
      <c r="A676" s="201"/>
      <c r="B676" s="195" t="s">
        <v>767</v>
      </c>
      <c r="C676" s="215">
        <v>2460</v>
      </c>
      <c r="D676" s="215">
        <v>2460</v>
      </c>
      <c r="E676" s="215"/>
      <c r="F676" s="215">
        <f t="shared" si="42"/>
        <v>366</v>
      </c>
      <c r="G676" s="215">
        <v>366</v>
      </c>
      <c r="H676" s="215"/>
      <c r="I676" s="181"/>
      <c r="J676" s="181"/>
      <c r="K676" s="181"/>
      <c r="L676" s="181"/>
      <c r="M676" s="181"/>
      <c r="N676" s="182"/>
      <c r="O676" s="190">
        <f t="shared" si="46"/>
        <v>14.878048780487804</v>
      </c>
      <c r="P676" s="190">
        <f t="shared" si="46"/>
        <v>14.878048780487804</v>
      </c>
      <c r="Q676" s="190"/>
    </row>
    <row r="677" spans="1:17" s="132" customFormat="1" ht="25.5">
      <c r="A677" s="201"/>
      <c r="B677" s="195" t="s">
        <v>768</v>
      </c>
      <c r="C677" s="215">
        <v>13000</v>
      </c>
      <c r="D677" s="215">
        <v>13000</v>
      </c>
      <c r="E677" s="215"/>
      <c r="F677" s="215">
        <f t="shared" si="42"/>
        <v>10888</v>
      </c>
      <c r="G677" s="215">
        <v>10888</v>
      </c>
      <c r="H677" s="215"/>
      <c r="I677" s="181"/>
      <c r="J677" s="181"/>
      <c r="K677" s="181"/>
      <c r="L677" s="181"/>
      <c r="M677" s="181"/>
      <c r="N677" s="182"/>
      <c r="O677" s="190">
        <f t="shared" si="46"/>
        <v>83.753846153846155</v>
      </c>
      <c r="P677" s="190">
        <f t="shared" si="46"/>
        <v>83.753846153846155</v>
      </c>
      <c r="Q677" s="190"/>
    </row>
    <row r="678" spans="1:17" s="132" customFormat="1" ht="25.5">
      <c r="A678" s="201"/>
      <c r="B678" s="195" t="s">
        <v>769</v>
      </c>
      <c r="C678" s="215">
        <v>10000</v>
      </c>
      <c r="D678" s="215">
        <v>10000</v>
      </c>
      <c r="E678" s="215"/>
      <c r="F678" s="215">
        <f t="shared" si="42"/>
        <v>3410</v>
      </c>
      <c r="G678" s="215">
        <v>3410</v>
      </c>
      <c r="H678" s="215"/>
      <c r="I678" s="181"/>
      <c r="J678" s="181"/>
      <c r="K678" s="181"/>
      <c r="L678" s="181"/>
      <c r="M678" s="181"/>
      <c r="N678" s="182"/>
      <c r="O678" s="190">
        <f t="shared" si="46"/>
        <v>34.1</v>
      </c>
      <c r="P678" s="190">
        <f t="shared" si="46"/>
        <v>34.1</v>
      </c>
      <c r="Q678" s="190"/>
    </row>
    <row r="679" spans="1:17" s="132" customFormat="1" ht="25.5">
      <c r="A679" s="201"/>
      <c r="B679" s="195" t="s">
        <v>770</v>
      </c>
      <c r="C679" s="215">
        <v>1800</v>
      </c>
      <c r="D679" s="215">
        <v>1800</v>
      </c>
      <c r="E679" s="215"/>
      <c r="F679" s="215">
        <f t="shared" si="42"/>
        <v>821</v>
      </c>
      <c r="G679" s="215">
        <v>821</v>
      </c>
      <c r="H679" s="215"/>
      <c r="I679" s="181"/>
      <c r="J679" s="181"/>
      <c r="K679" s="181"/>
      <c r="L679" s="181"/>
      <c r="M679" s="181"/>
      <c r="N679" s="182"/>
      <c r="O679" s="190">
        <f t="shared" si="46"/>
        <v>45.611111111111114</v>
      </c>
      <c r="P679" s="190">
        <f t="shared" si="46"/>
        <v>45.611111111111114</v>
      </c>
      <c r="Q679" s="190"/>
    </row>
    <row r="680" spans="1:17" s="132" customFormat="1" ht="12.75">
      <c r="A680" s="193" t="s">
        <v>771</v>
      </c>
      <c r="B680" s="194" t="s">
        <v>284</v>
      </c>
      <c r="C680" s="213">
        <v>14997.518</v>
      </c>
      <c r="D680" s="213">
        <v>14997.518</v>
      </c>
      <c r="E680" s="213"/>
      <c r="F680" s="213">
        <f t="shared" si="42"/>
        <v>14998</v>
      </c>
      <c r="G680" s="213">
        <f>G681+G682</f>
        <v>14998</v>
      </c>
      <c r="H680" s="213">
        <f t="shared" ref="H680" si="50">H681+H682</f>
        <v>0</v>
      </c>
      <c r="I680" s="181"/>
      <c r="J680" s="181"/>
      <c r="K680" s="181"/>
      <c r="L680" s="181"/>
      <c r="M680" s="181"/>
      <c r="N680" s="182"/>
      <c r="O680" s="190">
        <f t="shared" si="46"/>
        <v>100.00321386512087</v>
      </c>
      <c r="P680" s="190">
        <f t="shared" si="46"/>
        <v>100.00321386512087</v>
      </c>
      <c r="Q680" s="190"/>
    </row>
    <row r="681" spans="1:17" s="132" customFormat="1" ht="25.5">
      <c r="A681" s="201"/>
      <c r="B681" s="195" t="s">
        <v>772</v>
      </c>
      <c r="C681" s="215">
        <v>40</v>
      </c>
      <c r="D681" s="215">
        <v>40</v>
      </c>
      <c r="E681" s="215"/>
      <c r="F681" s="215">
        <f t="shared" si="42"/>
        <v>40</v>
      </c>
      <c r="G681" s="215">
        <v>40</v>
      </c>
      <c r="H681" s="215"/>
      <c r="I681" s="181"/>
      <c r="J681" s="181"/>
      <c r="K681" s="181"/>
      <c r="L681" s="181"/>
      <c r="M681" s="181"/>
      <c r="N681" s="182"/>
      <c r="O681" s="190">
        <f t="shared" si="46"/>
        <v>100</v>
      </c>
      <c r="P681" s="190">
        <f t="shared" si="46"/>
        <v>100</v>
      </c>
      <c r="Q681" s="190"/>
    </row>
    <row r="682" spans="1:17" s="132" customFormat="1" ht="51">
      <c r="A682" s="201"/>
      <c r="B682" s="195" t="s">
        <v>773</v>
      </c>
      <c r="C682" s="215">
        <v>14957.518</v>
      </c>
      <c r="D682" s="215">
        <v>14957.518</v>
      </c>
      <c r="E682" s="215"/>
      <c r="F682" s="215">
        <f t="shared" si="42"/>
        <v>14958</v>
      </c>
      <c r="G682" s="215">
        <v>14958</v>
      </c>
      <c r="H682" s="215"/>
      <c r="I682" s="181"/>
      <c r="J682" s="181"/>
      <c r="K682" s="181"/>
      <c r="L682" s="181"/>
      <c r="M682" s="181"/>
      <c r="N682" s="182"/>
      <c r="O682" s="190">
        <f t="shared" si="46"/>
        <v>100.00322245976906</v>
      </c>
      <c r="P682" s="190">
        <f t="shared" si="46"/>
        <v>100.00322245976906</v>
      </c>
      <c r="Q682" s="190"/>
    </row>
    <row r="683" spans="1:17" s="132" customFormat="1" ht="33.75" customHeight="1">
      <c r="A683" s="193" t="s">
        <v>774</v>
      </c>
      <c r="B683" s="194" t="s">
        <v>775</v>
      </c>
      <c r="C683" s="213">
        <v>1038780.66865</v>
      </c>
      <c r="D683" s="213">
        <v>1038780.66865</v>
      </c>
      <c r="E683" s="213"/>
      <c r="F683" s="213">
        <f t="shared" si="42"/>
        <v>965596</v>
      </c>
      <c r="G683" s="213">
        <f t="shared" ref="G683:H683" si="51">SUM(G684:G827)</f>
        <v>965596</v>
      </c>
      <c r="H683" s="213">
        <f t="shared" si="51"/>
        <v>0</v>
      </c>
      <c r="I683" s="181"/>
      <c r="J683" s="181"/>
      <c r="K683" s="181"/>
      <c r="L683" s="181"/>
      <c r="M683" s="181"/>
      <c r="N683" s="182"/>
      <c r="O683" s="190">
        <f t="shared" si="46"/>
        <v>92.954752542217506</v>
      </c>
      <c r="P683" s="190">
        <f t="shared" si="46"/>
        <v>92.954752542217506</v>
      </c>
      <c r="Q683" s="190"/>
    </row>
    <row r="684" spans="1:17" s="132" customFormat="1" ht="25.5">
      <c r="A684" s="201"/>
      <c r="B684" s="195" t="s">
        <v>776</v>
      </c>
      <c r="C684" s="215"/>
      <c r="D684" s="215"/>
      <c r="E684" s="215"/>
      <c r="F684" s="215">
        <f t="shared" si="42"/>
        <v>15037</v>
      </c>
      <c r="G684" s="215">
        <v>15037</v>
      </c>
      <c r="H684" s="215"/>
      <c r="I684" s="181"/>
      <c r="J684" s="181"/>
      <c r="K684" s="181"/>
      <c r="L684" s="181"/>
      <c r="M684" s="181"/>
      <c r="N684" s="182"/>
      <c r="O684" s="190"/>
      <c r="P684" s="190"/>
      <c r="Q684" s="190"/>
    </row>
    <row r="685" spans="1:17" s="132" customFormat="1" ht="38.25">
      <c r="A685" s="201"/>
      <c r="B685" s="195" t="s">
        <v>777</v>
      </c>
      <c r="C685" s="215"/>
      <c r="D685" s="215"/>
      <c r="E685" s="215"/>
      <c r="F685" s="215">
        <f t="shared" si="42"/>
        <v>25</v>
      </c>
      <c r="G685" s="215">
        <v>25</v>
      </c>
      <c r="H685" s="215"/>
      <c r="I685" s="181"/>
      <c r="J685" s="181"/>
      <c r="K685" s="181"/>
      <c r="L685" s="181"/>
      <c r="M685" s="181"/>
      <c r="N685" s="182"/>
      <c r="O685" s="190"/>
      <c r="P685" s="190"/>
      <c r="Q685" s="190"/>
    </row>
    <row r="686" spans="1:17" s="132" customFormat="1" ht="51">
      <c r="A686" s="201"/>
      <c r="B686" s="195" t="s">
        <v>778</v>
      </c>
      <c r="C686" s="215"/>
      <c r="D686" s="215"/>
      <c r="E686" s="215"/>
      <c r="F686" s="215">
        <f t="shared" si="42"/>
        <v>4071</v>
      </c>
      <c r="G686" s="215">
        <v>4071</v>
      </c>
      <c r="H686" s="215"/>
      <c r="I686" s="181"/>
      <c r="J686" s="181"/>
      <c r="K686" s="181"/>
      <c r="L686" s="181"/>
      <c r="M686" s="181"/>
      <c r="N686" s="182"/>
      <c r="O686" s="190"/>
      <c r="P686" s="190"/>
      <c r="Q686" s="190"/>
    </row>
    <row r="687" spans="1:17" s="132" customFormat="1" ht="25.5">
      <c r="A687" s="201"/>
      <c r="B687" s="195" t="s">
        <v>779</v>
      </c>
      <c r="C687" s="215"/>
      <c r="D687" s="215"/>
      <c r="E687" s="215"/>
      <c r="F687" s="215">
        <f t="shared" si="42"/>
        <v>2585</v>
      </c>
      <c r="G687" s="215">
        <v>2585</v>
      </c>
      <c r="H687" s="215"/>
      <c r="I687" s="181"/>
      <c r="J687" s="181"/>
      <c r="K687" s="181"/>
      <c r="L687" s="181"/>
      <c r="M687" s="181"/>
      <c r="N687" s="182"/>
      <c r="O687" s="190"/>
      <c r="P687" s="190"/>
      <c r="Q687" s="190"/>
    </row>
    <row r="688" spans="1:17" s="132" customFormat="1" ht="25.5">
      <c r="A688" s="201"/>
      <c r="B688" s="195" t="s">
        <v>780</v>
      </c>
      <c r="C688" s="215"/>
      <c r="D688" s="215"/>
      <c r="E688" s="215"/>
      <c r="F688" s="215">
        <f t="shared" si="42"/>
        <v>1800</v>
      </c>
      <c r="G688" s="215">
        <v>1800</v>
      </c>
      <c r="H688" s="215"/>
      <c r="I688" s="181"/>
      <c r="J688" s="181"/>
      <c r="K688" s="181"/>
      <c r="L688" s="181"/>
      <c r="M688" s="181"/>
      <c r="N688" s="182"/>
      <c r="O688" s="190"/>
      <c r="P688" s="190"/>
      <c r="Q688" s="190"/>
    </row>
    <row r="689" spans="1:17" s="132" customFormat="1" ht="38.25">
      <c r="A689" s="201"/>
      <c r="B689" s="195" t="s">
        <v>781</v>
      </c>
      <c r="C689" s="215"/>
      <c r="D689" s="215"/>
      <c r="E689" s="215"/>
      <c r="F689" s="215">
        <f t="shared" si="42"/>
        <v>2638</v>
      </c>
      <c r="G689" s="215">
        <v>2638</v>
      </c>
      <c r="H689" s="215"/>
      <c r="I689" s="181"/>
      <c r="J689" s="181"/>
      <c r="K689" s="181"/>
      <c r="L689" s="181"/>
      <c r="M689" s="181"/>
      <c r="N689" s="182"/>
      <c r="O689" s="190"/>
      <c r="P689" s="190"/>
      <c r="Q689" s="190"/>
    </row>
    <row r="690" spans="1:17" s="132" customFormat="1" ht="38.25">
      <c r="A690" s="201"/>
      <c r="B690" s="195" t="s">
        <v>782</v>
      </c>
      <c r="C690" s="215"/>
      <c r="D690" s="215"/>
      <c r="E690" s="215"/>
      <c r="F690" s="215">
        <f t="shared" si="42"/>
        <v>175</v>
      </c>
      <c r="G690" s="215">
        <v>175</v>
      </c>
      <c r="H690" s="215"/>
      <c r="I690" s="181"/>
      <c r="J690" s="181"/>
      <c r="K690" s="181"/>
      <c r="L690" s="181"/>
      <c r="M690" s="181"/>
      <c r="N690" s="182"/>
      <c r="O690" s="190"/>
      <c r="P690" s="190"/>
      <c r="Q690" s="190"/>
    </row>
    <row r="691" spans="1:17" s="132" customFormat="1" ht="38.25">
      <c r="A691" s="201"/>
      <c r="B691" s="195" t="s">
        <v>783</v>
      </c>
      <c r="C691" s="215"/>
      <c r="D691" s="215"/>
      <c r="E691" s="215"/>
      <c r="F691" s="215">
        <f t="shared" si="42"/>
        <v>29</v>
      </c>
      <c r="G691" s="215">
        <v>29</v>
      </c>
      <c r="H691" s="215"/>
      <c r="I691" s="181"/>
      <c r="J691" s="181"/>
      <c r="K691" s="181"/>
      <c r="L691" s="181"/>
      <c r="M691" s="181"/>
      <c r="N691" s="182"/>
      <c r="O691" s="190"/>
      <c r="P691" s="190"/>
      <c r="Q691" s="190"/>
    </row>
    <row r="692" spans="1:17" s="132" customFormat="1" ht="38.25">
      <c r="A692" s="201"/>
      <c r="B692" s="195" t="s">
        <v>784</v>
      </c>
      <c r="C692" s="215"/>
      <c r="D692" s="215"/>
      <c r="E692" s="215"/>
      <c r="F692" s="215">
        <f t="shared" si="42"/>
        <v>2689</v>
      </c>
      <c r="G692" s="215">
        <v>2689</v>
      </c>
      <c r="H692" s="215"/>
      <c r="I692" s="181"/>
      <c r="J692" s="181"/>
      <c r="K692" s="181"/>
      <c r="L692" s="181"/>
      <c r="M692" s="181"/>
      <c r="N692" s="182"/>
      <c r="O692" s="190"/>
      <c r="P692" s="190"/>
      <c r="Q692" s="190"/>
    </row>
    <row r="693" spans="1:17" s="132" customFormat="1" ht="25.5">
      <c r="A693" s="201"/>
      <c r="B693" s="195" t="s">
        <v>785</v>
      </c>
      <c r="C693" s="215"/>
      <c r="D693" s="215"/>
      <c r="E693" s="215"/>
      <c r="F693" s="215">
        <f t="shared" si="42"/>
        <v>23000</v>
      </c>
      <c r="G693" s="215">
        <v>23000</v>
      </c>
      <c r="H693" s="215"/>
      <c r="I693" s="181"/>
      <c r="J693" s="181"/>
      <c r="K693" s="181"/>
      <c r="L693" s="181"/>
      <c r="M693" s="181"/>
      <c r="N693" s="182"/>
      <c r="O693" s="190"/>
      <c r="P693" s="190"/>
      <c r="Q693" s="190"/>
    </row>
    <row r="694" spans="1:17" s="132" customFormat="1" ht="25.5">
      <c r="A694" s="201"/>
      <c r="B694" s="195" t="s">
        <v>786</v>
      </c>
      <c r="C694" s="215"/>
      <c r="D694" s="215"/>
      <c r="E694" s="215"/>
      <c r="F694" s="215">
        <f t="shared" si="42"/>
        <v>84</v>
      </c>
      <c r="G694" s="215">
        <v>84</v>
      </c>
      <c r="H694" s="215"/>
      <c r="I694" s="181"/>
      <c r="J694" s="181"/>
      <c r="K694" s="181"/>
      <c r="L694" s="181"/>
      <c r="M694" s="181"/>
      <c r="N694" s="182"/>
      <c r="O694" s="190"/>
      <c r="P694" s="190"/>
      <c r="Q694" s="190"/>
    </row>
    <row r="695" spans="1:17" s="132" customFormat="1" ht="38.25">
      <c r="A695" s="201"/>
      <c r="B695" s="195" t="s">
        <v>787</v>
      </c>
      <c r="C695" s="215"/>
      <c r="D695" s="215"/>
      <c r="E695" s="215"/>
      <c r="F695" s="215">
        <f t="shared" si="42"/>
        <v>3018</v>
      </c>
      <c r="G695" s="215">
        <v>3018</v>
      </c>
      <c r="H695" s="215"/>
      <c r="I695" s="181"/>
      <c r="J695" s="181"/>
      <c r="K695" s="181"/>
      <c r="L695" s="181"/>
      <c r="M695" s="181"/>
      <c r="N695" s="182"/>
      <c r="O695" s="190"/>
      <c r="P695" s="190"/>
      <c r="Q695" s="190"/>
    </row>
    <row r="696" spans="1:17" s="132" customFormat="1" ht="38.25">
      <c r="A696" s="201"/>
      <c r="B696" s="195" t="s">
        <v>788</v>
      </c>
      <c r="C696" s="215"/>
      <c r="D696" s="215"/>
      <c r="E696" s="215"/>
      <c r="F696" s="215">
        <f t="shared" si="42"/>
        <v>90</v>
      </c>
      <c r="G696" s="215">
        <v>90</v>
      </c>
      <c r="H696" s="215"/>
      <c r="I696" s="181"/>
      <c r="J696" s="181"/>
      <c r="K696" s="181"/>
      <c r="L696" s="181"/>
      <c r="M696" s="181"/>
      <c r="N696" s="182"/>
      <c r="O696" s="190"/>
      <c r="P696" s="190"/>
      <c r="Q696" s="190"/>
    </row>
    <row r="697" spans="1:17" s="132" customFormat="1" ht="38.25">
      <c r="A697" s="201"/>
      <c r="B697" s="195" t="s">
        <v>789</v>
      </c>
      <c r="C697" s="215"/>
      <c r="D697" s="215"/>
      <c r="E697" s="215"/>
      <c r="F697" s="215">
        <f t="shared" ref="F697:F760" si="52">G697+L697</f>
        <v>16</v>
      </c>
      <c r="G697" s="215">
        <v>16</v>
      </c>
      <c r="H697" s="215"/>
      <c r="I697" s="181"/>
      <c r="J697" s="181"/>
      <c r="K697" s="181"/>
      <c r="L697" s="181"/>
      <c r="M697" s="181"/>
      <c r="N697" s="182"/>
      <c r="O697" s="190"/>
      <c r="P697" s="190"/>
      <c r="Q697" s="190"/>
    </row>
    <row r="698" spans="1:17" s="132" customFormat="1" ht="38.25">
      <c r="A698" s="201"/>
      <c r="B698" s="195" t="s">
        <v>790</v>
      </c>
      <c r="C698" s="215"/>
      <c r="D698" s="215"/>
      <c r="E698" s="215"/>
      <c r="F698" s="215">
        <f t="shared" si="52"/>
        <v>616</v>
      </c>
      <c r="G698" s="215">
        <v>616</v>
      </c>
      <c r="H698" s="215"/>
      <c r="I698" s="181"/>
      <c r="J698" s="181"/>
      <c r="K698" s="181"/>
      <c r="L698" s="181"/>
      <c r="M698" s="181"/>
      <c r="N698" s="182"/>
      <c r="O698" s="190"/>
      <c r="P698" s="190"/>
      <c r="Q698" s="190"/>
    </row>
    <row r="699" spans="1:17" s="132" customFormat="1" ht="38.25">
      <c r="A699" s="201"/>
      <c r="B699" s="195" t="s">
        <v>791</v>
      </c>
      <c r="C699" s="215"/>
      <c r="D699" s="215"/>
      <c r="E699" s="215"/>
      <c r="F699" s="215">
        <f t="shared" si="52"/>
        <v>7201</v>
      </c>
      <c r="G699" s="215">
        <v>7201</v>
      </c>
      <c r="H699" s="215"/>
      <c r="I699" s="181"/>
      <c r="J699" s="181"/>
      <c r="K699" s="181"/>
      <c r="L699" s="181"/>
      <c r="M699" s="181"/>
      <c r="N699" s="182"/>
      <c r="O699" s="190"/>
      <c r="P699" s="190"/>
      <c r="Q699" s="190"/>
    </row>
    <row r="700" spans="1:17" s="132" customFormat="1" ht="25.5">
      <c r="A700" s="201"/>
      <c r="B700" s="195" t="s">
        <v>792</v>
      </c>
      <c r="C700" s="215"/>
      <c r="D700" s="215"/>
      <c r="E700" s="215"/>
      <c r="F700" s="215">
        <f t="shared" si="52"/>
        <v>18</v>
      </c>
      <c r="G700" s="215">
        <v>18</v>
      </c>
      <c r="H700" s="215"/>
      <c r="I700" s="181"/>
      <c r="J700" s="181"/>
      <c r="K700" s="181"/>
      <c r="L700" s="181"/>
      <c r="M700" s="181"/>
      <c r="N700" s="182"/>
      <c r="O700" s="190"/>
      <c r="P700" s="190"/>
      <c r="Q700" s="190"/>
    </row>
    <row r="701" spans="1:17" s="132" customFormat="1" ht="38.25">
      <c r="A701" s="201"/>
      <c r="B701" s="195" t="s">
        <v>793</v>
      </c>
      <c r="C701" s="215"/>
      <c r="D701" s="215"/>
      <c r="E701" s="215"/>
      <c r="F701" s="215">
        <f t="shared" si="52"/>
        <v>6738</v>
      </c>
      <c r="G701" s="215">
        <v>6738</v>
      </c>
      <c r="H701" s="215"/>
      <c r="I701" s="181"/>
      <c r="J701" s="181"/>
      <c r="K701" s="181"/>
      <c r="L701" s="181"/>
      <c r="M701" s="181"/>
      <c r="N701" s="182"/>
      <c r="O701" s="190"/>
      <c r="P701" s="190"/>
      <c r="Q701" s="190"/>
    </row>
    <row r="702" spans="1:17" s="132" customFormat="1" ht="51">
      <c r="A702" s="201"/>
      <c r="B702" s="195" t="s">
        <v>794</v>
      </c>
      <c r="C702" s="215"/>
      <c r="D702" s="215"/>
      <c r="E702" s="215"/>
      <c r="F702" s="215">
        <f t="shared" si="52"/>
        <v>61</v>
      </c>
      <c r="G702" s="215">
        <v>61</v>
      </c>
      <c r="H702" s="215"/>
      <c r="I702" s="181"/>
      <c r="J702" s="181"/>
      <c r="K702" s="181"/>
      <c r="L702" s="181"/>
      <c r="M702" s="181"/>
      <c r="N702" s="182"/>
      <c r="O702" s="190"/>
      <c r="P702" s="190"/>
      <c r="Q702" s="190"/>
    </row>
    <row r="703" spans="1:17" s="132" customFormat="1" ht="38.25">
      <c r="A703" s="201"/>
      <c r="B703" s="195" t="s">
        <v>795</v>
      </c>
      <c r="C703" s="215"/>
      <c r="D703" s="215"/>
      <c r="E703" s="215"/>
      <c r="F703" s="215">
        <f t="shared" si="52"/>
        <v>60</v>
      </c>
      <c r="G703" s="215">
        <v>60</v>
      </c>
      <c r="H703" s="215"/>
      <c r="I703" s="181"/>
      <c r="J703" s="181"/>
      <c r="K703" s="181"/>
      <c r="L703" s="181"/>
      <c r="M703" s="181"/>
      <c r="N703" s="182"/>
      <c r="O703" s="190"/>
      <c r="P703" s="190"/>
      <c r="Q703" s="190"/>
    </row>
    <row r="704" spans="1:17" s="132" customFormat="1" ht="38.25">
      <c r="A704" s="201"/>
      <c r="B704" s="195" t="s">
        <v>796</v>
      </c>
      <c r="C704" s="215"/>
      <c r="D704" s="215"/>
      <c r="E704" s="215"/>
      <c r="F704" s="215">
        <f t="shared" si="52"/>
        <v>95</v>
      </c>
      <c r="G704" s="215">
        <v>95</v>
      </c>
      <c r="H704" s="215"/>
      <c r="I704" s="181"/>
      <c r="J704" s="181"/>
      <c r="K704" s="181"/>
      <c r="L704" s="181"/>
      <c r="M704" s="181"/>
      <c r="N704" s="182"/>
      <c r="O704" s="190"/>
      <c r="P704" s="190"/>
      <c r="Q704" s="190"/>
    </row>
    <row r="705" spans="1:17" s="132" customFormat="1" ht="38.25">
      <c r="A705" s="201"/>
      <c r="B705" s="195" t="s">
        <v>797</v>
      </c>
      <c r="C705" s="215"/>
      <c r="D705" s="215"/>
      <c r="E705" s="215"/>
      <c r="F705" s="215">
        <f t="shared" si="52"/>
        <v>31</v>
      </c>
      <c r="G705" s="215">
        <v>31</v>
      </c>
      <c r="H705" s="215"/>
      <c r="I705" s="181"/>
      <c r="J705" s="181"/>
      <c r="K705" s="181"/>
      <c r="L705" s="181"/>
      <c r="M705" s="181"/>
      <c r="N705" s="182"/>
      <c r="O705" s="190"/>
      <c r="P705" s="190"/>
      <c r="Q705" s="190"/>
    </row>
    <row r="706" spans="1:17" s="132" customFormat="1" ht="38.25">
      <c r="A706" s="201"/>
      <c r="B706" s="195" t="s">
        <v>798</v>
      </c>
      <c r="C706" s="215"/>
      <c r="D706" s="215"/>
      <c r="E706" s="215"/>
      <c r="F706" s="215">
        <f t="shared" si="52"/>
        <v>34</v>
      </c>
      <c r="G706" s="215">
        <v>34</v>
      </c>
      <c r="H706" s="215"/>
      <c r="I706" s="181"/>
      <c r="J706" s="181"/>
      <c r="K706" s="181"/>
      <c r="L706" s="181"/>
      <c r="M706" s="181"/>
      <c r="N706" s="182"/>
      <c r="O706" s="190"/>
      <c r="P706" s="190"/>
      <c r="Q706" s="190"/>
    </row>
    <row r="707" spans="1:17" s="132" customFormat="1" ht="25.5">
      <c r="A707" s="201"/>
      <c r="B707" s="195" t="s">
        <v>799</v>
      </c>
      <c r="C707" s="215"/>
      <c r="D707" s="215"/>
      <c r="E707" s="215"/>
      <c r="F707" s="215">
        <f t="shared" si="52"/>
        <v>19</v>
      </c>
      <c r="G707" s="215">
        <v>19</v>
      </c>
      <c r="H707" s="215"/>
      <c r="I707" s="181"/>
      <c r="J707" s="181"/>
      <c r="K707" s="181"/>
      <c r="L707" s="181"/>
      <c r="M707" s="181"/>
      <c r="N707" s="182"/>
      <c r="O707" s="190"/>
      <c r="P707" s="190"/>
      <c r="Q707" s="190"/>
    </row>
    <row r="708" spans="1:17" s="132" customFormat="1" ht="38.25">
      <c r="A708" s="201"/>
      <c r="B708" s="195" t="s">
        <v>800</v>
      </c>
      <c r="C708" s="215"/>
      <c r="D708" s="215"/>
      <c r="E708" s="215"/>
      <c r="F708" s="215">
        <f t="shared" si="52"/>
        <v>17</v>
      </c>
      <c r="G708" s="215">
        <v>17</v>
      </c>
      <c r="H708" s="215"/>
      <c r="I708" s="181"/>
      <c r="J708" s="181"/>
      <c r="K708" s="181"/>
      <c r="L708" s="181"/>
      <c r="M708" s="181"/>
      <c r="N708" s="182"/>
      <c r="O708" s="190"/>
      <c r="P708" s="190"/>
      <c r="Q708" s="190"/>
    </row>
    <row r="709" spans="1:17" s="132" customFormat="1" ht="25.5">
      <c r="A709" s="201"/>
      <c r="B709" s="195" t="s">
        <v>801</v>
      </c>
      <c r="C709" s="215"/>
      <c r="D709" s="215"/>
      <c r="E709" s="215"/>
      <c r="F709" s="215">
        <f t="shared" si="52"/>
        <v>20</v>
      </c>
      <c r="G709" s="215">
        <v>20</v>
      </c>
      <c r="H709" s="215"/>
      <c r="I709" s="181"/>
      <c r="J709" s="181"/>
      <c r="K709" s="181"/>
      <c r="L709" s="181"/>
      <c r="M709" s="181"/>
      <c r="N709" s="182"/>
      <c r="O709" s="190"/>
      <c r="P709" s="190"/>
      <c r="Q709" s="190"/>
    </row>
    <row r="710" spans="1:17" s="132" customFormat="1" ht="25.5">
      <c r="A710" s="201"/>
      <c r="B710" s="195" t="s">
        <v>802</v>
      </c>
      <c r="C710" s="215"/>
      <c r="D710" s="215"/>
      <c r="E710" s="215"/>
      <c r="F710" s="215">
        <f t="shared" si="52"/>
        <v>167</v>
      </c>
      <c r="G710" s="215">
        <v>167</v>
      </c>
      <c r="H710" s="215"/>
      <c r="I710" s="181"/>
      <c r="J710" s="181"/>
      <c r="K710" s="181"/>
      <c r="L710" s="181"/>
      <c r="M710" s="181"/>
      <c r="N710" s="182"/>
      <c r="O710" s="190"/>
      <c r="P710" s="190"/>
      <c r="Q710" s="190"/>
    </row>
    <row r="711" spans="1:17" s="132" customFormat="1" ht="38.25">
      <c r="A711" s="201"/>
      <c r="B711" s="195" t="s">
        <v>803</v>
      </c>
      <c r="C711" s="215"/>
      <c r="D711" s="215"/>
      <c r="E711" s="215"/>
      <c r="F711" s="215">
        <f t="shared" si="52"/>
        <v>30</v>
      </c>
      <c r="G711" s="215">
        <v>30</v>
      </c>
      <c r="H711" s="215"/>
      <c r="I711" s="181"/>
      <c r="J711" s="181"/>
      <c r="K711" s="181"/>
      <c r="L711" s="181"/>
      <c r="M711" s="181"/>
      <c r="N711" s="182"/>
      <c r="O711" s="190"/>
      <c r="P711" s="190"/>
      <c r="Q711" s="190"/>
    </row>
    <row r="712" spans="1:17" s="132" customFormat="1" ht="38.25">
      <c r="A712" s="201"/>
      <c r="B712" s="195" t="s">
        <v>804</v>
      </c>
      <c r="C712" s="215"/>
      <c r="D712" s="215"/>
      <c r="E712" s="215"/>
      <c r="F712" s="215">
        <f t="shared" si="52"/>
        <v>1299</v>
      </c>
      <c r="G712" s="215">
        <v>1299</v>
      </c>
      <c r="H712" s="215"/>
      <c r="I712" s="181"/>
      <c r="J712" s="181"/>
      <c r="K712" s="181"/>
      <c r="L712" s="181"/>
      <c r="M712" s="181"/>
      <c r="N712" s="182"/>
      <c r="O712" s="190"/>
      <c r="P712" s="190"/>
      <c r="Q712" s="190"/>
    </row>
    <row r="713" spans="1:17" s="132" customFormat="1" ht="25.5">
      <c r="A713" s="201"/>
      <c r="B713" s="195" t="s">
        <v>805</v>
      </c>
      <c r="C713" s="215"/>
      <c r="D713" s="215"/>
      <c r="E713" s="215"/>
      <c r="F713" s="215">
        <f t="shared" si="52"/>
        <v>128</v>
      </c>
      <c r="G713" s="215">
        <v>128</v>
      </c>
      <c r="H713" s="215"/>
      <c r="I713" s="181"/>
      <c r="J713" s="181"/>
      <c r="K713" s="181"/>
      <c r="L713" s="181"/>
      <c r="M713" s="181"/>
      <c r="N713" s="182"/>
      <c r="O713" s="190"/>
      <c r="P713" s="190"/>
      <c r="Q713" s="190"/>
    </row>
    <row r="714" spans="1:17" s="132" customFormat="1" ht="25.5">
      <c r="A714" s="201"/>
      <c r="B714" s="195" t="s">
        <v>806</v>
      </c>
      <c r="C714" s="215"/>
      <c r="D714" s="215"/>
      <c r="E714" s="215"/>
      <c r="F714" s="215">
        <f t="shared" si="52"/>
        <v>4392</v>
      </c>
      <c r="G714" s="215">
        <v>4392</v>
      </c>
      <c r="H714" s="215"/>
      <c r="I714" s="181"/>
      <c r="J714" s="181"/>
      <c r="K714" s="181"/>
      <c r="L714" s="181"/>
      <c r="M714" s="181"/>
      <c r="N714" s="182"/>
      <c r="O714" s="190"/>
      <c r="P714" s="190"/>
      <c r="Q714" s="190"/>
    </row>
    <row r="715" spans="1:17" s="132" customFormat="1" ht="25.5">
      <c r="A715" s="201"/>
      <c r="B715" s="195" t="s">
        <v>807</v>
      </c>
      <c r="C715" s="215"/>
      <c r="D715" s="215"/>
      <c r="E715" s="215"/>
      <c r="F715" s="215">
        <f t="shared" si="52"/>
        <v>28</v>
      </c>
      <c r="G715" s="215">
        <v>28</v>
      </c>
      <c r="H715" s="215"/>
      <c r="I715" s="181"/>
      <c r="J715" s="181"/>
      <c r="K715" s="181"/>
      <c r="L715" s="181"/>
      <c r="M715" s="181"/>
      <c r="N715" s="182"/>
      <c r="O715" s="190"/>
      <c r="P715" s="190"/>
      <c r="Q715" s="190"/>
    </row>
    <row r="716" spans="1:17" s="132" customFormat="1" ht="38.25">
      <c r="A716" s="201"/>
      <c r="B716" s="195" t="s">
        <v>808</v>
      </c>
      <c r="C716" s="215"/>
      <c r="D716" s="215"/>
      <c r="E716" s="215"/>
      <c r="F716" s="215">
        <f t="shared" si="52"/>
        <v>45</v>
      </c>
      <c r="G716" s="215">
        <v>45</v>
      </c>
      <c r="H716" s="215"/>
      <c r="I716" s="181"/>
      <c r="J716" s="181"/>
      <c r="K716" s="181"/>
      <c r="L716" s="181"/>
      <c r="M716" s="181"/>
      <c r="N716" s="182"/>
      <c r="O716" s="190"/>
      <c r="P716" s="190"/>
      <c r="Q716" s="190"/>
    </row>
    <row r="717" spans="1:17" s="132" customFormat="1" ht="25.5">
      <c r="A717" s="201"/>
      <c r="B717" s="195" t="s">
        <v>809</v>
      </c>
      <c r="C717" s="215"/>
      <c r="D717" s="215"/>
      <c r="E717" s="215"/>
      <c r="F717" s="215">
        <f t="shared" si="52"/>
        <v>2289</v>
      </c>
      <c r="G717" s="215">
        <v>2289</v>
      </c>
      <c r="H717" s="215"/>
      <c r="I717" s="181"/>
      <c r="J717" s="181"/>
      <c r="K717" s="181"/>
      <c r="L717" s="181"/>
      <c r="M717" s="181"/>
      <c r="N717" s="182"/>
      <c r="O717" s="190"/>
      <c r="P717" s="190"/>
      <c r="Q717" s="190"/>
    </row>
    <row r="718" spans="1:17" s="132" customFormat="1" ht="38.25">
      <c r="A718" s="201"/>
      <c r="B718" s="195" t="s">
        <v>810</v>
      </c>
      <c r="C718" s="215"/>
      <c r="D718" s="215"/>
      <c r="E718" s="215"/>
      <c r="F718" s="215">
        <f t="shared" si="52"/>
        <v>16</v>
      </c>
      <c r="G718" s="215">
        <v>16</v>
      </c>
      <c r="H718" s="215"/>
      <c r="I718" s="181"/>
      <c r="J718" s="181"/>
      <c r="K718" s="181"/>
      <c r="L718" s="181"/>
      <c r="M718" s="181"/>
      <c r="N718" s="182"/>
      <c r="O718" s="190"/>
      <c r="P718" s="190"/>
      <c r="Q718" s="190"/>
    </row>
    <row r="719" spans="1:17" s="132" customFormat="1" ht="25.5">
      <c r="A719" s="201"/>
      <c r="B719" s="195" t="s">
        <v>811</v>
      </c>
      <c r="C719" s="215"/>
      <c r="D719" s="215"/>
      <c r="E719" s="215"/>
      <c r="F719" s="215">
        <f t="shared" si="52"/>
        <v>198916</v>
      </c>
      <c r="G719" s="215">
        <v>198916</v>
      </c>
      <c r="H719" s="215"/>
      <c r="I719" s="181"/>
      <c r="J719" s="181"/>
      <c r="K719" s="181"/>
      <c r="L719" s="181"/>
      <c r="M719" s="181"/>
      <c r="N719" s="182"/>
      <c r="O719" s="190"/>
      <c r="P719" s="190"/>
      <c r="Q719" s="190"/>
    </row>
    <row r="720" spans="1:17" s="132" customFormat="1" ht="25.5">
      <c r="A720" s="201"/>
      <c r="B720" s="195" t="s">
        <v>812</v>
      </c>
      <c r="C720" s="215"/>
      <c r="D720" s="215"/>
      <c r="E720" s="215"/>
      <c r="F720" s="215">
        <f t="shared" si="52"/>
        <v>23</v>
      </c>
      <c r="G720" s="215">
        <v>23</v>
      </c>
      <c r="H720" s="215"/>
      <c r="I720" s="181"/>
      <c r="J720" s="181"/>
      <c r="K720" s="181"/>
      <c r="L720" s="181"/>
      <c r="M720" s="181"/>
      <c r="N720" s="182"/>
      <c r="O720" s="190"/>
      <c r="P720" s="190"/>
      <c r="Q720" s="190"/>
    </row>
    <row r="721" spans="1:17" s="132" customFormat="1" ht="25.5">
      <c r="A721" s="201"/>
      <c r="B721" s="195" t="s">
        <v>813</v>
      </c>
      <c r="C721" s="215"/>
      <c r="D721" s="215"/>
      <c r="E721" s="215"/>
      <c r="F721" s="215">
        <f t="shared" si="52"/>
        <v>39</v>
      </c>
      <c r="G721" s="215">
        <v>39</v>
      </c>
      <c r="H721" s="215"/>
      <c r="I721" s="181"/>
      <c r="J721" s="181"/>
      <c r="K721" s="181"/>
      <c r="L721" s="181"/>
      <c r="M721" s="181"/>
      <c r="N721" s="182"/>
      <c r="O721" s="190"/>
      <c r="P721" s="190"/>
      <c r="Q721" s="190"/>
    </row>
    <row r="722" spans="1:17" s="132" customFormat="1" ht="25.5">
      <c r="A722" s="201"/>
      <c r="B722" s="195" t="s">
        <v>814</v>
      </c>
      <c r="C722" s="215"/>
      <c r="D722" s="215"/>
      <c r="E722" s="215"/>
      <c r="F722" s="215">
        <f t="shared" si="52"/>
        <v>185</v>
      </c>
      <c r="G722" s="215">
        <v>185</v>
      </c>
      <c r="H722" s="215"/>
      <c r="I722" s="181"/>
      <c r="J722" s="181"/>
      <c r="K722" s="181"/>
      <c r="L722" s="181"/>
      <c r="M722" s="181"/>
      <c r="N722" s="182"/>
      <c r="O722" s="190"/>
      <c r="P722" s="190"/>
      <c r="Q722" s="190"/>
    </row>
    <row r="723" spans="1:17" s="132" customFormat="1" ht="51">
      <c r="A723" s="201"/>
      <c r="B723" s="195" t="s">
        <v>815</v>
      </c>
      <c r="C723" s="215"/>
      <c r="D723" s="215"/>
      <c r="E723" s="215"/>
      <c r="F723" s="215">
        <f t="shared" si="52"/>
        <v>150</v>
      </c>
      <c r="G723" s="215">
        <v>150</v>
      </c>
      <c r="H723" s="215"/>
      <c r="I723" s="181"/>
      <c r="J723" s="181"/>
      <c r="K723" s="181"/>
      <c r="L723" s="181"/>
      <c r="M723" s="181"/>
      <c r="N723" s="182"/>
      <c r="O723" s="190"/>
      <c r="P723" s="190"/>
      <c r="Q723" s="190"/>
    </row>
    <row r="724" spans="1:17" s="132" customFormat="1" ht="25.5">
      <c r="A724" s="201"/>
      <c r="B724" s="195" t="s">
        <v>816</v>
      </c>
      <c r="C724" s="215"/>
      <c r="D724" s="215"/>
      <c r="E724" s="215"/>
      <c r="F724" s="215">
        <f t="shared" si="52"/>
        <v>9</v>
      </c>
      <c r="G724" s="215">
        <v>9</v>
      </c>
      <c r="H724" s="215"/>
      <c r="I724" s="181"/>
      <c r="J724" s="181"/>
      <c r="K724" s="181"/>
      <c r="L724" s="181"/>
      <c r="M724" s="181"/>
      <c r="N724" s="182"/>
      <c r="O724" s="190"/>
      <c r="P724" s="190"/>
      <c r="Q724" s="190"/>
    </row>
    <row r="725" spans="1:17" s="132" customFormat="1" ht="38.25">
      <c r="A725" s="201"/>
      <c r="B725" s="195" t="s">
        <v>817</v>
      </c>
      <c r="C725" s="215"/>
      <c r="D725" s="215"/>
      <c r="E725" s="215"/>
      <c r="F725" s="215">
        <f t="shared" si="52"/>
        <v>11</v>
      </c>
      <c r="G725" s="215">
        <v>11</v>
      </c>
      <c r="H725" s="215"/>
      <c r="I725" s="181"/>
      <c r="J725" s="181"/>
      <c r="K725" s="181"/>
      <c r="L725" s="181"/>
      <c r="M725" s="181"/>
      <c r="N725" s="182"/>
      <c r="O725" s="190"/>
      <c r="P725" s="190"/>
      <c r="Q725" s="190"/>
    </row>
    <row r="726" spans="1:17" s="132" customFormat="1" ht="51">
      <c r="A726" s="201"/>
      <c r="B726" s="195" t="s">
        <v>818</v>
      </c>
      <c r="C726" s="215"/>
      <c r="D726" s="215"/>
      <c r="E726" s="215"/>
      <c r="F726" s="215">
        <f t="shared" si="52"/>
        <v>8166</v>
      </c>
      <c r="G726" s="215">
        <v>8166</v>
      </c>
      <c r="H726" s="215"/>
      <c r="I726" s="181"/>
      <c r="J726" s="181"/>
      <c r="K726" s="181"/>
      <c r="L726" s="181"/>
      <c r="M726" s="181"/>
      <c r="N726" s="182"/>
      <c r="O726" s="190"/>
      <c r="P726" s="190"/>
      <c r="Q726" s="190"/>
    </row>
    <row r="727" spans="1:17" s="132" customFormat="1" ht="25.5">
      <c r="A727" s="201"/>
      <c r="B727" s="195" t="s">
        <v>819</v>
      </c>
      <c r="C727" s="215"/>
      <c r="D727" s="215"/>
      <c r="E727" s="215"/>
      <c r="F727" s="215">
        <f t="shared" si="52"/>
        <v>34</v>
      </c>
      <c r="G727" s="215">
        <v>34</v>
      </c>
      <c r="H727" s="215"/>
      <c r="I727" s="181"/>
      <c r="J727" s="181"/>
      <c r="K727" s="181"/>
      <c r="L727" s="181"/>
      <c r="M727" s="181"/>
      <c r="N727" s="182"/>
      <c r="O727" s="190"/>
      <c r="P727" s="190"/>
      <c r="Q727" s="190"/>
    </row>
    <row r="728" spans="1:17" s="132" customFormat="1" ht="38.25">
      <c r="A728" s="201"/>
      <c r="B728" s="195" t="s">
        <v>820</v>
      </c>
      <c r="C728" s="215"/>
      <c r="D728" s="215"/>
      <c r="E728" s="215"/>
      <c r="F728" s="215">
        <f t="shared" si="52"/>
        <v>75</v>
      </c>
      <c r="G728" s="215">
        <v>75</v>
      </c>
      <c r="H728" s="215"/>
      <c r="I728" s="181"/>
      <c r="J728" s="181"/>
      <c r="K728" s="181"/>
      <c r="L728" s="181"/>
      <c r="M728" s="181"/>
      <c r="N728" s="182"/>
      <c r="O728" s="190"/>
      <c r="P728" s="190"/>
      <c r="Q728" s="190"/>
    </row>
    <row r="729" spans="1:17" s="132" customFormat="1" ht="51">
      <c r="A729" s="201"/>
      <c r="B729" s="195" t="s">
        <v>821</v>
      </c>
      <c r="C729" s="215"/>
      <c r="D729" s="215"/>
      <c r="E729" s="215"/>
      <c r="F729" s="215">
        <f t="shared" si="52"/>
        <v>8033</v>
      </c>
      <c r="G729" s="215">
        <v>8033</v>
      </c>
      <c r="H729" s="215"/>
      <c r="I729" s="181"/>
      <c r="J729" s="181"/>
      <c r="K729" s="181"/>
      <c r="L729" s="181"/>
      <c r="M729" s="181"/>
      <c r="N729" s="182"/>
      <c r="O729" s="190"/>
      <c r="P729" s="190"/>
      <c r="Q729" s="190"/>
    </row>
    <row r="730" spans="1:17" s="132" customFormat="1" ht="25.5">
      <c r="A730" s="201"/>
      <c r="B730" s="195" t="s">
        <v>822</v>
      </c>
      <c r="C730" s="215"/>
      <c r="D730" s="215"/>
      <c r="E730" s="215"/>
      <c r="F730" s="215">
        <f t="shared" si="52"/>
        <v>19</v>
      </c>
      <c r="G730" s="215">
        <v>19</v>
      </c>
      <c r="H730" s="215"/>
      <c r="I730" s="181"/>
      <c r="J730" s="181"/>
      <c r="K730" s="181"/>
      <c r="L730" s="181"/>
      <c r="M730" s="181"/>
      <c r="N730" s="182"/>
      <c r="O730" s="190"/>
      <c r="P730" s="190"/>
      <c r="Q730" s="190"/>
    </row>
    <row r="731" spans="1:17" s="132" customFormat="1" ht="51">
      <c r="A731" s="201"/>
      <c r="B731" s="195" t="s">
        <v>823</v>
      </c>
      <c r="C731" s="215"/>
      <c r="D731" s="215"/>
      <c r="E731" s="215"/>
      <c r="F731" s="215">
        <f t="shared" si="52"/>
        <v>242</v>
      </c>
      <c r="G731" s="215">
        <v>242</v>
      </c>
      <c r="H731" s="215"/>
      <c r="I731" s="181"/>
      <c r="J731" s="181"/>
      <c r="K731" s="181"/>
      <c r="L731" s="181"/>
      <c r="M731" s="181"/>
      <c r="N731" s="182"/>
      <c r="O731" s="190"/>
      <c r="P731" s="190"/>
      <c r="Q731" s="190"/>
    </row>
    <row r="732" spans="1:17" s="132" customFormat="1" ht="38.25">
      <c r="A732" s="201"/>
      <c r="B732" s="195" t="s">
        <v>824</v>
      </c>
      <c r="C732" s="215"/>
      <c r="D732" s="215"/>
      <c r="E732" s="215"/>
      <c r="F732" s="215">
        <f t="shared" si="52"/>
        <v>2738</v>
      </c>
      <c r="G732" s="215">
        <v>2738</v>
      </c>
      <c r="H732" s="215"/>
      <c r="I732" s="181"/>
      <c r="J732" s="181"/>
      <c r="K732" s="181"/>
      <c r="L732" s="181"/>
      <c r="M732" s="181"/>
      <c r="N732" s="182"/>
      <c r="O732" s="190"/>
      <c r="P732" s="190"/>
      <c r="Q732" s="190"/>
    </row>
    <row r="733" spans="1:17" s="132" customFormat="1" ht="38.25">
      <c r="A733" s="201"/>
      <c r="B733" s="195" t="s">
        <v>825</v>
      </c>
      <c r="C733" s="215"/>
      <c r="D733" s="215"/>
      <c r="E733" s="215"/>
      <c r="F733" s="215">
        <f t="shared" si="52"/>
        <v>59</v>
      </c>
      <c r="G733" s="215">
        <v>59</v>
      </c>
      <c r="H733" s="215"/>
      <c r="I733" s="181"/>
      <c r="J733" s="181"/>
      <c r="K733" s="181"/>
      <c r="L733" s="181"/>
      <c r="M733" s="181"/>
      <c r="N733" s="182"/>
      <c r="O733" s="190"/>
      <c r="P733" s="190"/>
      <c r="Q733" s="190"/>
    </row>
    <row r="734" spans="1:17" s="132" customFormat="1" ht="25.5">
      <c r="A734" s="201"/>
      <c r="B734" s="195" t="s">
        <v>826</v>
      </c>
      <c r="C734" s="215"/>
      <c r="D734" s="215"/>
      <c r="E734" s="215"/>
      <c r="F734" s="215">
        <f t="shared" si="52"/>
        <v>50</v>
      </c>
      <c r="G734" s="215">
        <v>50</v>
      </c>
      <c r="H734" s="215"/>
      <c r="I734" s="181"/>
      <c r="J734" s="181"/>
      <c r="K734" s="181"/>
      <c r="L734" s="181"/>
      <c r="M734" s="181"/>
      <c r="N734" s="182"/>
      <c r="O734" s="190"/>
      <c r="P734" s="190"/>
      <c r="Q734" s="190"/>
    </row>
    <row r="735" spans="1:17" s="132" customFormat="1" ht="25.5">
      <c r="A735" s="201"/>
      <c r="B735" s="195" t="s">
        <v>827</v>
      </c>
      <c r="C735" s="215"/>
      <c r="D735" s="215"/>
      <c r="E735" s="215"/>
      <c r="F735" s="215">
        <f t="shared" si="52"/>
        <v>39</v>
      </c>
      <c r="G735" s="215">
        <v>39</v>
      </c>
      <c r="H735" s="215"/>
      <c r="I735" s="181"/>
      <c r="J735" s="181"/>
      <c r="K735" s="181"/>
      <c r="L735" s="181"/>
      <c r="M735" s="181"/>
      <c r="N735" s="182"/>
      <c r="O735" s="190"/>
      <c r="P735" s="190"/>
      <c r="Q735" s="190"/>
    </row>
    <row r="736" spans="1:17" s="132" customFormat="1" ht="38.25">
      <c r="A736" s="201"/>
      <c r="B736" s="195" t="s">
        <v>828</v>
      </c>
      <c r="C736" s="215"/>
      <c r="D736" s="215"/>
      <c r="E736" s="215"/>
      <c r="F736" s="215">
        <f t="shared" si="52"/>
        <v>3365</v>
      </c>
      <c r="G736" s="215">
        <v>3365</v>
      </c>
      <c r="H736" s="215"/>
      <c r="I736" s="181"/>
      <c r="J736" s="181"/>
      <c r="K736" s="181"/>
      <c r="L736" s="181"/>
      <c r="M736" s="181"/>
      <c r="N736" s="182"/>
      <c r="O736" s="190"/>
      <c r="P736" s="190"/>
      <c r="Q736" s="190"/>
    </row>
    <row r="737" spans="1:17" s="132" customFormat="1" ht="25.5">
      <c r="A737" s="201"/>
      <c r="B737" s="195" t="s">
        <v>829</v>
      </c>
      <c r="C737" s="215"/>
      <c r="D737" s="215"/>
      <c r="E737" s="215"/>
      <c r="F737" s="215">
        <f t="shared" si="52"/>
        <v>10009</v>
      </c>
      <c r="G737" s="215">
        <v>10009</v>
      </c>
      <c r="H737" s="215"/>
      <c r="I737" s="181"/>
      <c r="J737" s="181"/>
      <c r="K737" s="181"/>
      <c r="L737" s="181"/>
      <c r="M737" s="181"/>
      <c r="N737" s="182"/>
      <c r="O737" s="190"/>
      <c r="P737" s="190"/>
      <c r="Q737" s="190"/>
    </row>
    <row r="738" spans="1:17" s="132" customFormat="1" ht="25.5">
      <c r="A738" s="201"/>
      <c r="B738" s="195" t="s">
        <v>830</v>
      </c>
      <c r="C738" s="215"/>
      <c r="D738" s="215"/>
      <c r="E738" s="215"/>
      <c r="F738" s="215">
        <f t="shared" si="52"/>
        <v>14978</v>
      </c>
      <c r="G738" s="215">
        <v>14978</v>
      </c>
      <c r="H738" s="215"/>
      <c r="I738" s="181"/>
      <c r="J738" s="181"/>
      <c r="K738" s="181"/>
      <c r="L738" s="181"/>
      <c r="M738" s="181"/>
      <c r="N738" s="182"/>
      <c r="O738" s="190"/>
      <c r="P738" s="190"/>
      <c r="Q738" s="190"/>
    </row>
    <row r="739" spans="1:17" s="132" customFormat="1" ht="25.5">
      <c r="A739" s="201"/>
      <c r="B739" s="195" t="s">
        <v>831</v>
      </c>
      <c r="C739" s="215"/>
      <c r="D739" s="215"/>
      <c r="E739" s="215"/>
      <c r="F739" s="215">
        <f t="shared" si="52"/>
        <v>50</v>
      </c>
      <c r="G739" s="215">
        <v>50</v>
      </c>
      <c r="H739" s="215"/>
      <c r="I739" s="181"/>
      <c r="J739" s="181"/>
      <c r="K739" s="181"/>
      <c r="L739" s="181"/>
      <c r="M739" s="181"/>
      <c r="N739" s="182"/>
      <c r="O739" s="190"/>
      <c r="P739" s="190"/>
      <c r="Q739" s="190"/>
    </row>
    <row r="740" spans="1:17" s="132" customFormat="1" ht="25.5">
      <c r="A740" s="201"/>
      <c r="B740" s="195" t="s">
        <v>832</v>
      </c>
      <c r="C740" s="215"/>
      <c r="D740" s="215"/>
      <c r="E740" s="215"/>
      <c r="F740" s="215">
        <f t="shared" si="52"/>
        <v>21125</v>
      </c>
      <c r="G740" s="215">
        <v>21125</v>
      </c>
      <c r="H740" s="215"/>
      <c r="I740" s="181"/>
      <c r="J740" s="181"/>
      <c r="K740" s="181"/>
      <c r="L740" s="181"/>
      <c r="M740" s="181"/>
      <c r="N740" s="182"/>
      <c r="O740" s="190"/>
      <c r="P740" s="190"/>
      <c r="Q740" s="190"/>
    </row>
    <row r="741" spans="1:17" s="132" customFormat="1" ht="25.5">
      <c r="A741" s="201"/>
      <c r="B741" s="195" t="s">
        <v>833</v>
      </c>
      <c r="C741" s="215"/>
      <c r="D741" s="215"/>
      <c r="E741" s="215"/>
      <c r="F741" s="215">
        <f t="shared" si="52"/>
        <v>12922</v>
      </c>
      <c r="G741" s="215">
        <v>12922</v>
      </c>
      <c r="H741" s="215"/>
      <c r="I741" s="181"/>
      <c r="J741" s="181"/>
      <c r="K741" s="181"/>
      <c r="L741" s="181"/>
      <c r="M741" s="181"/>
      <c r="N741" s="182"/>
      <c r="O741" s="190"/>
      <c r="P741" s="190"/>
      <c r="Q741" s="190"/>
    </row>
    <row r="742" spans="1:17" s="132" customFormat="1" ht="25.5">
      <c r="A742" s="201"/>
      <c r="B742" s="195" t="s">
        <v>834</v>
      </c>
      <c r="C742" s="215"/>
      <c r="D742" s="215"/>
      <c r="E742" s="215"/>
      <c r="F742" s="215">
        <f t="shared" si="52"/>
        <v>28000</v>
      </c>
      <c r="G742" s="215">
        <v>28000</v>
      </c>
      <c r="H742" s="215"/>
      <c r="I742" s="181"/>
      <c r="J742" s="181"/>
      <c r="K742" s="181"/>
      <c r="L742" s="181"/>
      <c r="M742" s="181"/>
      <c r="N742" s="182"/>
      <c r="O742" s="190"/>
      <c r="P742" s="190"/>
      <c r="Q742" s="190"/>
    </row>
    <row r="743" spans="1:17" s="132" customFormat="1" ht="25.5">
      <c r="A743" s="201"/>
      <c r="B743" s="195" t="s">
        <v>835</v>
      </c>
      <c r="C743" s="215"/>
      <c r="D743" s="215"/>
      <c r="E743" s="215"/>
      <c r="F743" s="215">
        <f t="shared" si="52"/>
        <v>1189</v>
      </c>
      <c r="G743" s="215">
        <v>1189</v>
      </c>
      <c r="H743" s="215"/>
      <c r="I743" s="181"/>
      <c r="J743" s="181"/>
      <c r="K743" s="181"/>
      <c r="L743" s="181"/>
      <c r="M743" s="181"/>
      <c r="N743" s="182"/>
      <c r="O743" s="190"/>
      <c r="P743" s="190"/>
      <c r="Q743" s="190"/>
    </row>
    <row r="744" spans="1:17" s="132" customFormat="1" ht="51">
      <c r="A744" s="201"/>
      <c r="B744" s="195" t="s">
        <v>836</v>
      </c>
      <c r="C744" s="215"/>
      <c r="D744" s="215"/>
      <c r="E744" s="215"/>
      <c r="F744" s="215">
        <f t="shared" si="52"/>
        <v>7956</v>
      </c>
      <c r="G744" s="215">
        <v>7956</v>
      </c>
      <c r="H744" s="215"/>
      <c r="I744" s="181"/>
      <c r="J744" s="181"/>
      <c r="K744" s="181"/>
      <c r="L744" s="181"/>
      <c r="M744" s="181"/>
      <c r="N744" s="182"/>
      <c r="O744" s="190"/>
      <c r="P744" s="190"/>
      <c r="Q744" s="190"/>
    </row>
    <row r="745" spans="1:17" s="132" customFormat="1" ht="25.5">
      <c r="A745" s="201"/>
      <c r="B745" s="195" t="s">
        <v>837</v>
      </c>
      <c r="C745" s="215"/>
      <c r="D745" s="215"/>
      <c r="E745" s="215"/>
      <c r="F745" s="215">
        <f t="shared" si="52"/>
        <v>150</v>
      </c>
      <c r="G745" s="215">
        <v>150</v>
      </c>
      <c r="H745" s="215"/>
      <c r="I745" s="181"/>
      <c r="J745" s="181"/>
      <c r="K745" s="181"/>
      <c r="L745" s="181"/>
      <c r="M745" s="181"/>
      <c r="N745" s="182"/>
      <c r="O745" s="190"/>
      <c r="P745" s="190"/>
      <c r="Q745" s="190"/>
    </row>
    <row r="746" spans="1:17" s="132" customFormat="1" ht="25.5">
      <c r="A746" s="201"/>
      <c r="B746" s="195" t="s">
        <v>838</v>
      </c>
      <c r="C746" s="215"/>
      <c r="D746" s="215"/>
      <c r="E746" s="215"/>
      <c r="F746" s="215">
        <f t="shared" si="52"/>
        <v>1312</v>
      </c>
      <c r="G746" s="215">
        <v>1312</v>
      </c>
      <c r="H746" s="215"/>
      <c r="I746" s="181"/>
      <c r="J746" s="181"/>
      <c r="K746" s="181"/>
      <c r="L746" s="181"/>
      <c r="M746" s="181"/>
      <c r="N746" s="182"/>
      <c r="O746" s="190"/>
      <c r="P746" s="190"/>
      <c r="Q746" s="190"/>
    </row>
    <row r="747" spans="1:17" s="132" customFormat="1" ht="38.25">
      <c r="A747" s="201"/>
      <c r="B747" s="195" t="s">
        <v>839</v>
      </c>
      <c r="C747" s="215"/>
      <c r="D747" s="215"/>
      <c r="E747" s="215"/>
      <c r="F747" s="215">
        <f t="shared" si="52"/>
        <v>64</v>
      </c>
      <c r="G747" s="215">
        <v>64</v>
      </c>
      <c r="H747" s="215"/>
      <c r="I747" s="181"/>
      <c r="J747" s="181"/>
      <c r="K747" s="181"/>
      <c r="L747" s="181"/>
      <c r="M747" s="181"/>
      <c r="N747" s="182"/>
      <c r="O747" s="190"/>
      <c r="P747" s="190"/>
      <c r="Q747" s="190"/>
    </row>
    <row r="748" spans="1:17" s="132" customFormat="1" ht="38.25">
      <c r="A748" s="201"/>
      <c r="B748" s="195" t="s">
        <v>840</v>
      </c>
      <c r="C748" s="215"/>
      <c r="D748" s="215"/>
      <c r="E748" s="215"/>
      <c r="F748" s="215">
        <f t="shared" si="52"/>
        <v>175</v>
      </c>
      <c r="G748" s="215">
        <v>175</v>
      </c>
      <c r="H748" s="215"/>
      <c r="I748" s="181"/>
      <c r="J748" s="181"/>
      <c r="K748" s="181"/>
      <c r="L748" s="181"/>
      <c r="M748" s="181"/>
      <c r="N748" s="182"/>
      <c r="O748" s="190"/>
      <c r="P748" s="190"/>
      <c r="Q748" s="190"/>
    </row>
    <row r="749" spans="1:17" s="132" customFormat="1" ht="25.5">
      <c r="A749" s="201"/>
      <c r="B749" s="195" t="s">
        <v>841</v>
      </c>
      <c r="C749" s="215"/>
      <c r="D749" s="215"/>
      <c r="E749" s="215"/>
      <c r="F749" s="215">
        <f t="shared" si="52"/>
        <v>32210</v>
      </c>
      <c r="G749" s="215">
        <v>32210</v>
      </c>
      <c r="H749" s="215"/>
      <c r="I749" s="181"/>
      <c r="J749" s="181"/>
      <c r="K749" s="181"/>
      <c r="L749" s="181"/>
      <c r="M749" s="181"/>
      <c r="N749" s="182"/>
      <c r="O749" s="190"/>
      <c r="P749" s="190"/>
      <c r="Q749" s="190"/>
    </row>
    <row r="750" spans="1:17" s="132" customFormat="1" ht="38.25">
      <c r="A750" s="201"/>
      <c r="B750" s="195" t="s">
        <v>842</v>
      </c>
      <c r="C750" s="215"/>
      <c r="D750" s="215"/>
      <c r="E750" s="215"/>
      <c r="F750" s="215">
        <f t="shared" si="52"/>
        <v>22327</v>
      </c>
      <c r="G750" s="215">
        <v>22327</v>
      </c>
      <c r="H750" s="215"/>
      <c r="I750" s="181"/>
      <c r="J750" s="181"/>
      <c r="K750" s="181"/>
      <c r="L750" s="181"/>
      <c r="M750" s="181"/>
      <c r="N750" s="182"/>
      <c r="O750" s="190"/>
      <c r="P750" s="190"/>
      <c r="Q750" s="190"/>
    </row>
    <row r="751" spans="1:17" s="132" customFormat="1" ht="38.25">
      <c r="A751" s="201"/>
      <c r="B751" s="195" t="s">
        <v>843</v>
      </c>
      <c r="C751" s="215"/>
      <c r="D751" s="215"/>
      <c r="E751" s="215"/>
      <c r="F751" s="215">
        <f t="shared" si="52"/>
        <v>234</v>
      </c>
      <c r="G751" s="215">
        <v>234</v>
      </c>
      <c r="H751" s="215"/>
      <c r="I751" s="181"/>
      <c r="J751" s="181"/>
      <c r="K751" s="181"/>
      <c r="L751" s="181"/>
      <c r="M751" s="181"/>
      <c r="N751" s="182"/>
      <c r="O751" s="190"/>
      <c r="P751" s="190"/>
      <c r="Q751" s="190"/>
    </row>
    <row r="752" spans="1:17" s="132" customFormat="1" ht="38.25">
      <c r="A752" s="201"/>
      <c r="B752" s="195" t="s">
        <v>844</v>
      </c>
      <c r="C752" s="215"/>
      <c r="D752" s="215"/>
      <c r="E752" s="215"/>
      <c r="F752" s="215">
        <f t="shared" si="52"/>
        <v>37</v>
      </c>
      <c r="G752" s="215">
        <v>37</v>
      </c>
      <c r="H752" s="215"/>
      <c r="I752" s="181"/>
      <c r="J752" s="181"/>
      <c r="K752" s="181"/>
      <c r="L752" s="181"/>
      <c r="M752" s="181"/>
      <c r="N752" s="182"/>
      <c r="O752" s="190"/>
      <c r="P752" s="190"/>
      <c r="Q752" s="190"/>
    </row>
    <row r="753" spans="1:17" s="132" customFormat="1" ht="38.25">
      <c r="A753" s="201"/>
      <c r="B753" s="195" t="s">
        <v>845</v>
      </c>
      <c r="C753" s="215"/>
      <c r="D753" s="215"/>
      <c r="E753" s="215"/>
      <c r="F753" s="215">
        <f t="shared" si="52"/>
        <v>0</v>
      </c>
      <c r="G753" s="215">
        <v>0</v>
      </c>
      <c r="H753" s="215"/>
      <c r="I753" s="181"/>
      <c r="J753" s="181"/>
      <c r="K753" s="181"/>
      <c r="L753" s="181"/>
      <c r="M753" s="181"/>
      <c r="N753" s="182"/>
      <c r="O753" s="190"/>
      <c r="P753" s="190"/>
      <c r="Q753" s="190"/>
    </row>
    <row r="754" spans="1:17" s="132" customFormat="1" ht="25.5">
      <c r="A754" s="201"/>
      <c r="B754" s="195" t="s">
        <v>846</v>
      </c>
      <c r="C754" s="215"/>
      <c r="D754" s="215"/>
      <c r="E754" s="215"/>
      <c r="F754" s="215">
        <f t="shared" si="52"/>
        <v>10</v>
      </c>
      <c r="G754" s="215">
        <v>10</v>
      </c>
      <c r="H754" s="215"/>
      <c r="I754" s="181"/>
      <c r="J754" s="181"/>
      <c r="K754" s="181"/>
      <c r="L754" s="181"/>
      <c r="M754" s="181"/>
      <c r="N754" s="182"/>
      <c r="O754" s="190"/>
      <c r="P754" s="190"/>
      <c r="Q754" s="190"/>
    </row>
    <row r="755" spans="1:17" s="132" customFormat="1" ht="38.25">
      <c r="A755" s="201"/>
      <c r="B755" s="195" t="s">
        <v>847</v>
      </c>
      <c r="C755" s="215"/>
      <c r="D755" s="215"/>
      <c r="E755" s="215"/>
      <c r="F755" s="215">
        <f t="shared" si="52"/>
        <v>219</v>
      </c>
      <c r="G755" s="215">
        <v>219</v>
      </c>
      <c r="H755" s="215"/>
      <c r="I755" s="181"/>
      <c r="J755" s="181"/>
      <c r="K755" s="181"/>
      <c r="L755" s="181"/>
      <c r="M755" s="181"/>
      <c r="N755" s="182"/>
      <c r="O755" s="190"/>
      <c r="P755" s="190"/>
      <c r="Q755" s="190"/>
    </row>
    <row r="756" spans="1:17" s="132" customFormat="1" ht="25.5">
      <c r="A756" s="201"/>
      <c r="B756" s="195" t="s">
        <v>848</v>
      </c>
      <c r="C756" s="215"/>
      <c r="D756" s="215"/>
      <c r="E756" s="215"/>
      <c r="F756" s="215">
        <f t="shared" si="52"/>
        <v>132</v>
      </c>
      <c r="G756" s="215">
        <v>132</v>
      </c>
      <c r="H756" s="215"/>
      <c r="I756" s="181"/>
      <c r="J756" s="181"/>
      <c r="K756" s="181"/>
      <c r="L756" s="181"/>
      <c r="M756" s="181"/>
      <c r="N756" s="182"/>
      <c r="O756" s="190"/>
      <c r="P756" s="190"/>
      <c r="Q756" s="190"/>
    </row>
    <row r="757" spans="1:17" s="132" customFormat="1" ht="38.25">
      <c r="A757" s="201"/>
      <c r="B757" s="195" t="s">
        <v>849</v>
      </c>
      <c r="C757" s="215"/>
      <c r="D757" s="215"/>
      <c r="E757" s="215"/>
      <c r="F757" s="215">
        <f t="shared" si="52"/>
        <v>1006</v>
      </c>
      <c r="G757" s="215">
        <v>1006</v>
      </c>
      <c r="H757" s="215"/>
      <c r="I757" s="181"/>
      <c r="J757" s="181"/>
      <c r="K757" s="181"/>
      <c r="L757" s="181"/>
      <c r="M757" s="181"/>
      <c r="N757" s="182"/>
      <c r="O757" s="190"/>
      <c r="P757" s="190"/>
      <c r="Q757" s="190"/>
    </row>
    <row r="758" spans="1:17" s="132" customFormat="1" ht="25.5">
      <c r="A758" s="201"/>
      <c r="B758" s="195" t="s">
        <v>850</v>
      </c>
      <c r="C758" s="215"/>
      <c r="D758" s="215"/>
      <c r="E758" s="215"/>
      <c r="F758" s="215">
        <f t="shared" si="52"/>
        <v>7</v>
      </c>
      <c r="G758" s="215">
        <v>7</v>
      </c>
      <c r="H758" s="215"/>
      <c r="I758" s="181"/>
      <c r="J758" s="181"/>
      <c r="K758" s="181"/>
      <c r="L758" s="181"/>
      <c r="M758" s="181"/>
      <c r="N758" s="182"/>
      <c r="O758" s="190"/>
      <c r="P758" s="190"/>
      <c r="Q758" s="190"/>
    </row>
    <row r="759" spans="1:17" s="132" customFormat="1" ht="51">
      <c r="A759" s="201"/>
      <c r="B759" s="195" t="s">
        <v>851</v>
      </c>
      <c r="C759" s="215"/>
      <c r="D759" s="215"/>
      <c r="E759" s="215"/>
      <c r="F759" s="215">
        <f t="shared" si="52"/>
        <v>19</v>
      </c>
      <c r="G759" s="215">
        <v>19</v>
      </c>
      <c r="H759" s="215"/>
      <c r="I759" s="181"/>
      <c r="J759" s="181"/>
      <c r="K759" s="181"/>
      <c r="L759" s="181"/>
      <c r="M759" s="181"/>
      <c r="N759" s="182"/>
      <c r="O759" s="190"/>
      <c r="P759" s="190"/>
      <c r="Q759" s="190"/>
    </row>
    <row r="760" spans="1:17" s="132" customFormat="1" ht="25.5">
      <c r="A760" s="201"/>
      <c r="B760" s="195" t="s">
        <v>852</v>
      </c>
      <c r="C760" s="215"/>
      <c r="D760" s="215"/>
      <c r="E760" s="215"/>
      <c r="F760" s="215">
        <f t="shared" si="52"/>
        <v>9775</v>
      </c>
      <c r="G760" s="215">
        <v>9775</v>
      </c>
      <c r="H760" s="215"/>
      <c r="I760" s="181"/>
      <c r="J760" s="181"/>
      <c r="K760" s="181"/>
      <c r="L760" s="181"/>
      <c r="M760" s="181"/>
      <c r="N760" s="182"/>
      <c r="O760" s="190"/>
      <c r="P760" s="190"/>
      <c r="Q760" s="190"/>
    </row>
    <row r="761" spans="1:17" s="132" customFormat="1" ht="38.25">
      <c r="A761" s="201"/>
      <c r="B761" s="195" t="s">
        <v>853</v>
      </c>
      <c r="C761" s="215"/>
      <c r="D761" s="215"/>
      <c r="E761" s="215"/>
      <c r="F761" s="215">
        <f t="shared" ref="F761:F824" si="53">G761+L761</f>
        <v>150</v>
      </c>
      <c r="G761" s="215">
        <v>150</v>
      </c>
      <c r="H761" s="215"/>
      <c r="I761" s="181"/>
      <c r="J761" s="181"/>
      <c r="K761" s="181"/>
      <c r="L761" s="181"/>
      <c r="M761" s="181"/>
      <c r="N761" s="182"/>
      <c r="O761" s="190"/>
      <c r="P761" s="190"/>
      <c r="Q761" s="190"/>
    </row>
    <row r="762" spans="1:17" s="132" customFormat="1" ht="38.25">
      <c r="A762" s="201"/>
      <c r="B762" s="195" t="s">
        <v>854</v>
      </c>
      <c r="C762" s="215"/>
      <c r="D762" s="215"/>
      <c r="E762" s="215"/>
      <c r="F762" s="215">
        <f t="shared" si="53"/>
        <v>78</v>
      </c>
      <c r="G762" s="215">
        <v>78</v>
      </c>
      <c r="H762" s="215"/>
      <c r="I762" s="181"/>
      <c r="J762" s="181"/>
      <c r="K762" s="181"/>
      <c r="L762" s="181"/>
      <c r="M762" s="181"/>
      <c r="N762" s="182"/>
      <c r="O762" s="190"/>
      <c r="P762" s="190"/>
      <c r="Q762" s="190"/>
    </row>
    <row r="763" spans="1:17" s="132" customFormat="1" ht="25.5">
      <c r="A763" s="201"/>
      <c r="B763" s="195" t="s">
        <v>855</v>
      </c>
      <c r="C763" s="215"/>
      <c r="D763" s="215"/>
      <c r="E763" s="215"/>
      <c r="F763" s="215">
        <f t="shared" si="53"/>
        <v>64</v>
      </c>
      <c r="G763" s="215">
        <v>64</v>
      </c>
      <c r="H763" s="215"/>
      <c r="I763" s="181"/>
      <c r="J763" s="181"/>
      <c r="K763" s="181"/>
      <c r="L763" s="181"/>
      <c r="M763" s="181"/>
      <c r="N763" s="182"/>
      <c r="O763" s="190"/>
      <c r="P763" s="190"/>
      <c r="Q763" s="190"/>
    </row>
    <row r="764" spans="1:17" s="132" customFormat="1" ht="25.5">
      <c r="A764" s="201"/>
      <c r="B764" s="195" t="s">
        <v>856</v>
      </c>
      <c r="C764" s="215"/>
      <c r="D764" s="215"/>
      <c r="E764" s="215"/>
      <c r="F764" s="215">
        <f t="shared" si="53"/>
        <v>46</v>
      </c>
      <c r="G764" s="215">
        <v>46</v>
      </c>
      <c r="H764" s="215"/>
      <c r="I764" s="181"/>
      <c r="J764" s="181"/>
      <c r="K764" s="181"/>
      <c r="L764" s="181"/>
      <c r="M764" s="181"/>
      <c r="N764" s="182"/>
      <c r="O764" s="190"/>
      <c r="P764" s="190"/>
      <c r="Q764" s="190"/>
    </row>
    <row r="765" spans="1:17" s="132" customFormat="1" ht="38.25">
      <c r="A765" s="201"/>
      <c r="B765" s="195" t="s">
        <v>857</v>
      </c>
      <c r="C765" s="215"/>
      <c r="D765" s="215"/>
      <c r="E765" s="215"/>
      <c r="F765" s="215">
        <f t="shared" si="53"/>
        <v>31</v>
      </c>
      <c r="G765" s="215">
        <v>31</v>
      </c>
      <c r="H765" s="215"/>
      <c r="I765" s="181"/>
      <c r="J765" s="181"/>
      <c r="K765" s="181"/>
      <c r="L765" s="181"/>
      <c r="M765" s="181"/>
      <c r="N765" s="182"/>
      <c r="O765" s="190"/>
      <c r="P765" s="190"/>
      <c r="Q765" s="190"/>
    </row>
    <row r="766" spans="1:17" s="132" customFormat="1" ht="25.5">
      <c r="A766" s="201"/>
      <c r="B766" s="195" t="s">
        <v>858</v>
      </c>
      <c r="C766" s="215"/>
      <c r="D766" s="215"/>
      <c r="E766" s="215"/>
      <c r="F766" s="215">
        <f t="shared" si="53"/>
        <v>40</v>
      </c>
      <c r="G766" s="215">
        <v>40</v>
      </c>
      <c r="H766" s="215"/>
      <c r="I766" s="181"/>
      <c r="J766" s="181"/>
      <c r="K766" s="181"/>
      <c r="L766" s="181"/>
      <c r="M766" s="181"/>
      <c r="N766" s="182"/>
      <c r="O766" s="190"/>
      <c r="P766" s="190"/>
      <c r="Q766" s="190"/>
    </row>
    <row r="767" spans="1:17" s="132" customFormat="1" ht="51">
      <c r="A767" s="201"/>
      <c r="B767" s="195" t="s">
        <v>859</v>
      </c>
      <c r="C767" s="215"/>
      <c r="D767" s="215"/>
      <c r="E767" s="215"/>
      <c r="F767" s="215">
        <f t="shared" si="53"/>
        <v>12</v>
      </c>
      <c r="G767" s="215">
        <v>12</v>
      </c>
      <c r="H767" s="215"/>
      <c r="I767" s="181"/>
      <c r="J767" s="181"/>
      <c r="K767" s="181"/>
      <c r="L767" s="181"/>
      <c r="M767" s="181"/>
      <c r="N767" s="182"/>
      <c r="O767" s="190"/>
      <c r="P767" s="190"/>
      <c r="Q767" s="190"/>
    </row>
    <row r="768" spans="1:17" s="132" customFormat="1" ht="25.5">
      <c r="A768" s="201"/>
      <c r="B768" s="195" t="s">
        <v>860</v>
      </c>
      <c r="C768" s="215"/>
      <c r="D768" s="215"/>
      <c r="E768" s="215"/>
      <c r="F768" s="215">
        <f t="shared" si="53"/>
        <v>110</v>
      </c>
      <c r="G768" s="215">
        <v>110</v>
      </c>
      <c r="H768" s="215"/>
      <c r="I768" s="181"/>
      <c r="J768" s="181"/>
      <c r="K768" s="181"/>
      <c r="L768" s="181"/>
      <c r="M768" s="181"/>
      <c r="N768" s="182"/>
      <c r="O768" s="190"/>
      <c r="P768" s="190"/>
      <c r="Q768" s="190"/>
    </row>
    <row r="769" spans="1:17" s="132" customFormat="1" ht="38.25">
      <c r="A769" s="201"/>
      <c r="B769" s="195" t="s">
        <v>861</v>
      </c>
      <c r="C769" s="215"/>
      <c r="D769" s="215"/>
      <c r="E769" s="215"/>
      <c r="F769" s="215">
        <f t="shared" si="53"/>
        <v>19130</v>
      </c>
      <c r="G769" s="215">
        <v>19130</v>
      </c>
      <c r="H769" s="215"/>
      <c r="I769" s="181"/>
      <c r="J769" s="181"/>
      <c r="K769" s="181"/>
      <c r="L769" s="181"/>
      <c r="M769" s="181"/>
      <c r="N769" s="182"/>
      <c r="O769" s="190"/>
      <c r="P769" s="190"/>
      <c r="Q769" s="190"/>
    </row>
    <row r="770" spans="1:17" s="132" customFormat="1" ht="51">
      <c r="A770" s="201"/>
      <c r="B770" s="195" t="s">
        <v>862</v>
      </c>
      <c r="C770" s="215"/>
      <c r="D770" s="215"/>
      <c r="E770" s="215"/>
      <c r="F770" s="215">
        <f t="shared" si="53"/>
        <v>15</v>
      </c>
      <c r="G770" s="215">
        <v>15</v>
      </c>
      <c r="H770" s="215"/>
      <c r="I770" s="181"/>
      <c r="J770" s="181"/>
      <c r="K770" s="181"/>
      <c r="L770" s="181"/>
      <c r="M770" s="181"/>
      <c r="N770" s="182"/>
      <c r="O770" s="190"/>
      <c r="P770" s="190"/>
      <c r="Q770" s="190"/>
    </row>
    <row r="771" spans="1:17" s="132" customFormat="1" ht="51">
      <c r="A771" s="201"/>
      <c r="B771" s="195" t="s">
        <v>863</v>
      </c>
      <c r="C771" s="215"/>
      <c r="D771" s="215"/>
      <c r="E771" s="215"/>
      <c r="F771" s="215">
        <f t="shared" si="53"/>
        <v>8</v>
      </c>
      <c r="G771" s="215">
        <v>8</v>
      </c>
      <c r="H771" s="215"/>
      <c r="I771" s="181"/>
      <c r="J771" s="181"/>
      <c r="K771" s="181"/>
      <c r="L771" s="181"/>
      <c r="M771" s="181"/>
      <c r="N771" s="182"/>
      <c r="O771" s="190"/>
      <c r="P771" s="190"/>
      <c r="Q771" s="190"/>
    </row>
    <row r="772" spans="1:17" s="132" customFormat="1" ht="51">
      <c r="A772" s="201"/>
      <c r="B772" s="195" t="s">
        <v>864</v>
      </c>
      <c r="C772" s="215"/>
      <c r="D772" s="215"/>
      <c r="E772" s="215"/>
      <c r="F772" s="215">
        <f t="shared" si="53"/>
        <v>10</v>
      </c>
      <c r="G772" s="215">
        <v>10</v>
      </c>
      <c r="H772" s="215"/>
      <c r="I772" s="181"/>
      <c r="J772" s="181"/>
      <c r="K772" s="181"/>
      <c r="L772" s="181"/>
      <c r="M772" s="181"/>
      <c r="N772" s="182"/>
      <c r="O772" s="190"/>
      <c r="P772" s="190"/>
      <c r="Q772" s="190"/>
    </row>
    <row r="773" spans="1:17" s="132" customFormat="1" ht="51">
      <c r="A773" s="201"/>
      <c r="B773" s="195" t="s">
        <v>865</v>
      </c>
      <c r="C773" s="215"/>
      <c r="D773" s="215"/>
      <c r="E773" s="215"/>
      <c r="F773" s="215">
        <f t="shared" si="53"/>
        <v>15</v>
      </c>
      <c r="G773" s="215">
        <v>15</v>
      </c>
      <c r="H773" s="215"/>
      <c r="I773" s="181"/>
      <c r="J773" s="181"/>
      <c r="K773" s="181"/>
      <c r="L773" s="181"/>
      <c r="M773" s="181"/>
      <c r="N773" s="182"/>
      <c r="O773" s="190"/>
      <c r="P773" s="190"/>
      <c r="Q773" s="190"/>
    </row>
    <row r="774" spans="1:17" s="132" customFormat="1" ht="51">
      <c r="A774" s="201"/>
      <c r="B774" s="195" t="s">
        <v>866</v>
      </c>
      <c r="C774" s="215"/>
      <c r="D774" s="215"/>
      <c r="E774" s="215"/>
      <c r="F774" s="215">
        <f t="shared" si="53"/>
        <v>16</v>
      </c>
      <c r="G774" s="215">
        <v>16</v>
      </c>
      <c r="H774" s="215"/>
      <c r="I774" s="181"/>
      <c r="J774" s="181"/>
      <c r="K774" s="181"/>
      <c r="L774" s="181"/>
      <c r="M774" s="181"/>
      <c r="N774" s="182"/>
      <c r="O774" s="190"/>
      <c r="P774" s="190"/>
      <c r="Q774" s="190"/>
    </row>
    <row r="775" spans="1:17" s="132" customFormat="1" ht="51">
      <c r="A775" s="201"/>
      <c r="B775" s="195" t="s">
        <v>867</v>
      </c>
      <c r="C775" s="215"/>
      <c r="D775" s="215"/>
      <c r="E775" s="215"/>
      <c r="F775" s="215">
        <f t="shared" si="53"/>
        <v>12</v>
      </c>
      <c r="G775" s="215">
        <v>12</v>
      </c>
      <c r="H775" s="215"/>
      <c r="I775" s="181"/>
      <c r="J775" s="181"/>
      <c r="K775" s="181"/>
      <c r="L775" s="181"/>
      <c r="M775" s="181"/>
      <c r="N775" s="182"/>
      <c r="O775" s="190"/>
      <c r="P775" s="190"/>
      <c r="Q775" s="190"/>
    </row>
    <row r="776" spans="1:17" s="132" customFormat="1" ht="51">
      <c r="A776" s="201"/>
      <c r="B776" s="195" t="s">
        <v>868</v>
      </c>
      <c r="C776" s="215"/>
      <c r="D776" s="215"/>
      <c r="E776" s="215"/>
      <c r="F776" s="215">
        <f t="shared" si="53"/>
        <v>15</v>
      </c>
      <c r="G776" s="215">
        <v>15</v>
      </c>
      <c r="H776" s="215"/>
      <c r="I776" s="181"/>
      <c r="J776" s="181"/>
      <c r="K776" s="181"/>
      <c r="L776" s="181"/>
      <c r="M776" s="181"/>
      <c r="N776" s="182"/>
      <c r="O776" s="190"/>
      <c r="P776" s="190"/>
      <c r="Q776" s="190"/>
    </row>
    <row r="777" spans="1:17" s="132" customFormat="1" ht="51">
      <c r="A777" s="201"/>
      <c r="B777" s="195" t="s">
        <v>869</v>
      </c>
      <c r="C777" s="215"/>
      <c r="D777" s="215"/>
      <c r="E777" s="215"/>
      <c r="F777" s="215">
        <f t="shared" si="53"/>
        <v>7</v>
      </c>
      <c r="G777" s="215">
        <v>7</v>
      </c>
      <c r="H777" s="215"/>
      <c r="I777" s="181"/>
      <c r="J777" s="181"/>
      <c r="K777" s="181"/>
      <c r="L777" s="181"/>
      <c r="M777" s="181"/>
      <c r="N777" s="182"/>
      <c r="O777" s="190"/>
      <c r="P777" s="190"/>
      <c r="Q777" s="190"/>
    </row>
    <row r="778" spans="1:17" s="132" customFormat="1" ht="51">
      <c r="A778" s="201"/>
      <c r="B778" s="195" t="s">
        <v>870</v>
      </c>
      <c r="C778" s="215"/>
      <c r="D778" s="215"/>
      <c r="E778" s="215"/>
      <c r="F778" s="215">
        <f t="shared" si="53"/>
        <v>138622</v>
      </c>
      <c r="G778" s="215">
        <v>138622</v>
      </c>
      <c r="H778" s="215"/>
      <c r="I778" s="181"/>
      <c r="J778" s="181"/>
      <c r="K778" s="181"/>
      <c r="L778" s="181"/>
      <c r="M778" s="181"/>
      <c r="N778" s="182"/>
      <c r="O778" s="190"/>
      <c r="P778" s="190"/>
      <c r="Q778" s="190"/>
    </row>
    <row r="779" spans="1:17" s="132" customFormat="1" ht="51">
      <c r="A779" s="201"/>
      <c r="B779" s="195" t="s">
        <v>871</v>
      </c>
      <c r="C779" s="215"/>
      <c r="D779" s="215"/>
      <c r="E779" s="215"/>
      <c r="F779" s="215">
        <f t="shared" si="53"/>
        <v>12</v>
      </c>
      <c r="G779" s="215">
        <v>12</v>
      </c>
      <c r="H779" s="215"/>
      <c r="I779" s="181"/>
      <c r="J779" s="181"/>
      <c r="K779" s="181"/>
      <c r="L779" s="181"/>
      <c r="M779" s="181"/>
      <c r="N779" s="182"/>
      <c r="O779" s="190"/>
      <c r="P779" s="190"/>
      <c r="Q779" s="190"/>
    </row>
    <row r="780" spans="1:17" s="132" customFormat="1" ht="51">
      <c r="A780" s="201"/>
      <c r="B780" s="195" t="s">
        <v>872</v>
      </c>
      <c r="C780" s="215"/>
      <c r="D780" s="215"/>
      <c r="E780" s="215"/>
      <c r="F780" s="215">
        <f t="shared" si="53"/>
        <v>14</v>
      </c>
      <c r="G780" s="215">
        <v>14</v>
      </c>
      <c r="H780" s="215"/>
      <c r="I780" s="181"/>
      <c r="J780" s="181"/>
      <c r="K780" s="181"/>
      <c r="L780" s="181"/>
      <c r="M780" s="181"/>
      <c r="N780" s="182"/>
      <c r="O780" s="190"/>
      <c r="P780" s="190"/>
      <c r="Q780" s="190"/>
    </row>
    <row r="781" spans="1:17" s="132" customFormat="1" ht="51">
      <c r="A781" s="201"/>
      <c r="B781" s="195" t="s">
        <v>873</v>
      </c>
      <c r="C781" s="215"/>
      <c r="D781" s="215"/>
      <c r="E781" s="215"/>
      <c r="F781" s="215">
        <f t="shared" si="53"/>
        <v>6</v>
      </c>
      <c r="G781" s="215">
        <v>6</v>
      </c>
      <c r="H781" s="215"/>
      <c r="I781" s="181"/>
      <c r="J781" s="181"/>
      <c r="K781" s="181"/>
      <c r="L781" s="181"/>
      <c r="M781" s="181"/>
      <c r="N781" s="182"/>
      <c r="O781" s="190"/>
      <c r="P781" s="190"/>
      <c r="Q781" s="190"/>
    </row>
    <row r="782" spans="1:17" s="132" customFormat="1" ht="51">
      <c r="A782" s="201"/>
      <c r="B782" s="195" t="s">
        <v>874</v>
      </c>
      <c r="C782" s="215"/>
      <c r="D782" s="215"/>
      <c r="E782" s="215"/>
      <c r="F782" s="215">
        <f t="shared" si="53"/>
        <v>48</v>
      </c>
      <c r="G782" s="215">
        <v>48</v>
      </c>
      <c r="H782" s="215"/>
      <c r="I782" s="181"/>
      <c r="J782" s="181"/>
      <c r="K782" s="181"/>
      <c r="L782" s="181"/>
      <c r="M782" s="181"/>
      <c r="N782" s="182"/>
      <c r="O782" s="190"/>
      <c r="P782" s="190"/>
      <c r="Q782" s="190"/>
    </row>
    <row r="783" spans="1:17" s="132" customFormat="1" ht="38.25">
      <c r="A783" s="201"/>
      <c r="B783" s="195" t="s">
        <v>875</v>
      </c>
      <c r="C783" s="215"/>
      <c r="D783" s="215"/>
      <c r="E783" s="215"/>
      <c r="F783" s="215">
        <f t="shared" si="53"/>
        <v>20</v>
      </c>
      <c r="G783" s="215">
        <v>20</v>
      </c>
      <c r="H783" s="215"/>
      <c r="I783" s="181"/>
      <c r="J783" s="181"/>
      <c r="K783" s="181"/>
      <c r="L783" s="181"/>
      <c r="M783" s="181"/>
      <c r="N783" s="182"/>
      <c r="O783" s="190"/>
      <c r="P783" s="190"/>
      <c r="Q783" s="190"/>
    </row>
    <row r="784" spans="1:17" s="132" customFormat="1" ht="51">
      <c r="A784" s="201"/>
      <c r="B784" s="195" t="s">
        <v>876</v>
      </c>
      <c r="C784" s="215"/>
      <c r="D784" s="215"/>
      <c r="E784" s="215"/>
      <c r="F784" s="215">
        <f t="shared" si="53"/>
        <v>7891</v>
      </c>
      <c r="G784" s="215">
        <v>7891</v>
      </c>
      <c r="H784" s="215"/>
      <c r="I784" s="181"/>
      <c r="J784" s="181"/>
      <c r="K784" s="181"/>
      <c r="L784" s="181"/>
      <c r="M784" s="181"/>
      <c r="N784" s="182"/>
      <c r="O784" s="190"/>
      <c r="P784" s="190"/>
      <c r="Q784" s="190"/>
    </row>
    <row r="785" spans="1:17" s="132" customFormat="1" ht="38.25">
      <c r="A785" s="201"/>
      <c r="B785" s="195" t="s">
        <v>877</v>
      </c>
      <c r="C785" s="215"/>
      <c r="D785" s="215"/>
      <c r="E785" s="215"/>
      <c r="F785" s="215">
        <f t="shared" si="53"/>
        <v>58</v>
      </c>
      <c r="G785" s="215">
        <v>58</v>
      </c>
      <c r="H785" s="215"/>
      <c r="I785" s="181"/>
      <c r="J785" s="181"/>
      <c r="K785" s="181"/>
      <c r="L785" s="181"/>
      <c r="M785" s="181"/>
      <c r="N785" s="182"/>
      <c r="O785" s="190"/>
      <c r="P785" s="190"/>
      <c r="Q785" s="190"/>
    </row>
    <row r="786" spans="1:17" s="132" customFormat="1" ht="25.5">
      <c r="A786" s="201"/>
      <c r="B786" s="195" t="s">
        <v>878</v>
      </c>
      <c r="C786" s="215"/>
      <c r="D786" s="215"/>
      <c r="E786" s="215"/>
      <c r="F786" s="215">
        <f t="shared" si="53"/>
        <v>0</v>
      </c>
      <c r="G786" s="215"/>
      <c r="H786" s="215"/>
      <c r="I786" s="181"/>
      <c r="J786" s="181"/>
      <c r="K786" s="181"/>
      <c r="L786" s="181"/>
      <c r="M786" s="181"/>
      <c r="N786" s="182"/>
      <c r="O786" s="190"/>
      <c r="P786" s="190"/>
      <c r="Q786" s="190"/>
    </row>
    <row r="787" spans="1:17" s="132" customFormat="1" ht="38.25">
      <c r="A787" s="201"/>
      <c r="B787" s="195" t="s">
        <v>879</v>
      </c>
      <c r="C787" s="215"/>
      <c r="D787" s="215"/>
      <c r="E787" s="215"/>
      <c r="F787" s="215">
        <f t="shared" si="53"/>
        <v>7049</v>
      </c>
      <c r="G787" s="215">
        <v>7049</v>
      </c>
      <c r="H787" s="215"/>
      <c r="I787" s="181"/>
      <c r="J787" s="181"/>
      <c r="K787" s="181"/>
      <c r="L787" s="181"/>
      <c r="M787" s="181"/>
      <c r="N787" s="182"/>
      <c r="O787" s="190"/>
      <c r="P787" s="190"/>
      <c r="Q787" s="190"/>
    </row>
    <row r="788" spans="1:17" s="132" customFormat="1" ht="38.25">
      <c r="A788" s="201"/>
      <c r="B788" s="195" t="s">
        <v>880</v>
      </c>
      <c r="C788" s="215"/>
      <c r="D788" s="215"/>
      <c r="E788" s="215"/>
      <c r="F788" s="215">
        <f t="shared" si="53"/>
        <v>280</v>
      </c>
      <c r="G788" s="215">
        <v>280</v>
      </c>
      <c r="H788" s="215"/>
      <c r="I788" s="181"/>
      <c r="J788" s="181"/>
      <c r="K788" s="181"/>
      <c r="L788" s="181"/>
      <c r="M788" s="181"/>
      <c r="N788" s="182"/>
      <c r="O788" s="190"/>
      <c r="P788" s="190"/>
      <c r="Q788" s="190"/>
    </row>
    <row r="789" spans="1:17" s="132" customFormat="1" ht="38.25">
      <c r="A789" s="201"/>
      <c r="B789" s="195" t="s">
        <v>881</v>
      </c>
      <c r="C789" s="215"/>
      <c r="D789" s="215"/>
      <c r="E789" s="215"/>
      <c r="F789" s="215">
        <f t="shared" si="53"/>
        <v>1200</v>
      </c>
      <c r="G789" s="215">
        <v>1200</v>
      </c>
      <c r="H789" s="215"/>
      <c r="I789" s="181"/>
      <c r="J789" s="181"/>
      <c r="K789" s="181"/>
      <c r="L789" s="181"/>
      <c r="M789" s="181"/>
      <c r="N789" s="182"/>
      <c r="O789" s="190"/>
      <c r="P789" s="190"/>
      <c r="Q789" s="190"/>
    </row>
    <row r="790" spans="1:17" s="132" customFormat="1" ht="25.5">
      <c r="A790" s="201"/>
      <c r="B790" s="195" t="s">
        <v>882</v>
      </c>
      <c r="C790" s="215"/>
      <c r="D790" s="215"/>
      <c r="E790" s="215"/>
      <c r="F790" s="215">
        <f t="shared" si="53"/>
        <v>74269</v>
      </c>
      <c r="G790" s="215">
        <v>74269</v>
      </c>
      <c r="H790" s="215"/>
      <c r="I790" s="181"/>
      <c r="J790" s="181"/>
      <c r="K790" s="181"/>
      <c r="L790" s="181"/>
      <c r="M790" s="181"/>
      <c r="N790" s="182"/>
      <c r="O790" s="190"/>
      <c r="P790" s="190"/>
      <c r="Q790" s="190"/>
    </row>
    <row r="791" spans="1:17" s="132" customFormat="1" ht="38.25">
      <c r="A791" s="201"/>
      <c r="B791" s="195" t="s">
        <v>883</v>
      </c>
      <c r="C791" s="215"/>
      <c r="D791" s="215"/>
      <c r="E791" s="215"/>
      <c r="F791" s="215">
        <f t="shared" si="53"/>
        <v>22232</v>
      </c>
      <c r="G791" s="215">
        <v>22232</v>
      </c>
      <c r="H791" s="215"/>
      <c r="I791" s="181"/>
      <c r="J791" s="181"/>
      <c r="K791" s="181"/>
      <c r="L791" s="181"/>
      <c r="M791" s="181"/>
      <c r="N791" s="182"/>
      <c r="O791" s="190"/>
      <c r="P791" s="190"/>
      <c r="Q791" s="190"/>
    </row>
    <row r="792" spans="1:17" s="132" customFormat="1" ht="51">
      <c r="A792" s="201"/>
      <c r="B792" s="195" t="s">
        <v>884</v>
      </c>
      <c r="C792" s="215"/>
      <c r="D792" s="215"/>
      <c r="E792" s="215"/>
      <c r="F792" s="215">
        <f t="shared" si="53"/>
        <v>10373</v>
      </c>
      <c r="G792" s="215">
        <v>10373</v>
      </c>
      <c r="H792" s="215"/>
      <c r="I792" s="181"/>
      <c r="J792" s="181"/>
      <c r="K792" s="181"/>
      <c r="L792" s="181"/>
      <c r="M792" s="181"/>
      <c r="N792" s="182"/>
      <c r="O792" s="190"/>
      <c r="P792" s="190"/>
      <c r="Q792" s="190"/>
    </row>
    <row r="793" spans="1:17" s="132" customFormat="1" ht="38.25">
      <c r="A793" s="201"/>
      <c r="B793" s="195" t="s">
        <v>885</v>
      </c>
      <c r="C793" s="215"/>
      <c r="D793" s="215"/>
      <c r="E793" s="215"/>
      <c r="F793" s="215">
        <f t="shared" si="53"/>
        <v>5000</v>
      </c>
      <c r="G793" s="215">
        <v>5000</v>
      </c>
      <c r="H793" s="215"/>
      <c r="I793" s="181"/>
      <c r="J793" s="181"/>
      <c r="K793" s="181"/>
      <c r="L793" s="181"/>
      <c r="M793" s="181"/>
      <c r="N793" s="182"/>
      <c r="O793" s="190"/>
      <c r="P793" s="190"/>
      <c r="Q793" s="190"/>
    </row>
    <row r="794" spans="1:17" s="132" customFormat="1" ht="38.25">
      <c r="A794" s="201"/>
      <c r="B794" s="195" t="s">
        <v>886</v>
      </c>
      <c r="C794" s="215"/>
      <c r="D794" s="215"/>
      <c r="E794" s="215"/>
      <c r="F794" s="215">
        <f t="shared" si="53"/>
        <v>57946</v>
      </c>
      <c r="G794" s="215">
        <v>57946</v>
      </c>
      <c r="H794" s="215"/>
      <c r="I794" s="181"/>
      <c r="J794" s="181"/>
      <c r="K794" s="181"/>
      <c r="L794" s="181"/>
      <c r="M794" s="181"/>
      <c r="N794" s="182"/>
      <c r="O794" s="190"/>
      <c r="P794" s="190"/>
      <c r="Q794" s="190"/>
    </row>
    <row r="795" spans="1:17" s="132" customFormat="1" ht="51">
      <c r="A795" s="201"/>
      <c r="B795" s="195" t="s">
        <v>887</v>
      </c>
      <c r="C795" s="215"/>
      <c r="D795" s="215"/>
      <c r="E795" s="215"/>
      <c r="F795" s="215">
        <f t="shared" si="53"/>
        <v>120</v>
      </c>
      <c r="G795" s="215">
        <v>120</v>
      </c>
      <c r="H795" s="215"/>
      <c r="I795" s="181"/>
      <c r="J795" s="181"/>
      <c r="K795" s="181"/>
      <c r="L795" s="181"/>
      <c r="M795" s="181"/>
      <c r="N795" s="182"/>
      <c r="O795" s="190"/>
      <c r="P795" s="190"/>
      <c r="Q795" s="190"/>
    </row>
    <row r="796" spans="1:17" s="132" customFormat="1" ht="51">
      <c r="A796" s="201"/>
      <c r="B796" s="195" t="s">
        <v>888</v>
      </c>
      <c r="C796" s="215"/>
      <c r="D796" s="215"/>
      <c r="E796" s="215"/>
      <c r="F796" s="215">
        <f t="shared" si="53"/>
        <v>8143</v>
      </c>
      <c r="G796" s="215">
        <v>8143</v>
      </c>
      <c r="H796" s="215"/>
      <c r="I796" s="181"/>
      <c r="J796" s="181"/>
      <c r="K796" s="181"/>
      <c r="L796" s="181"/>
      <c r="M796" s="181"/>
      <c r="N796" s="182"/>
      <c r="O796" s="190"/>
      <c r="P796" s="190"/>
      <c r="Q796" s="190"/>
    </row>
    <row r="797" spans="1:17" s="132" customFormat="1" ht="63.75">
      <c r="A797" s="201"/>
      <c r="B797" s="195" t="s">
        <v>889</v>
      </c>
      <c r="C797" s="215"/>
      <c r="D797" s="215"/>
      <c r="E797" s="215"/>
      <c r="F797" s="215">
        <f t="shared" si="53"/>
        <v>7729</v>
      </c>
      <c r="G797" s="215">
        <v>7729</v>
      </c>
      <c r="H797" s="215"/>
      <c r="I797" s="181"/>
      <c r="J797" s="181"/>
      <c r="K797" s="181"/>
      <c r="L797" s="181"/>
      <c r="M797" s="181"/>
      <c r="N797" s="182"/>
      <c r="O797" s="190"/>
      <c r="P797" s="190"/>
      <c r="Q797" s="190"/>
    </row>
    <row r="798" spans="1:17" s="111" customFormat="1" ht="38.25">
      <c r="A798" s="201"/>
      <c r="B798" s="195" t="s">
        <v>890</v>
      </c>
      <c r="C798" s="215"/>
      <c r="D798" s="215"/>
      <c r="E798" s="215"/>
      <c r="F798" s="215">
        <f t="shared" si="53"/>
        <v>1870</v>
      </c>
      <c r="G798" s="215">
        <v>1870</v>
      </c>
      <c r="H798" s="215"/>
      <c r="I798" s="216"/>
      <c r="J798" s="216"/>
      <c r="K798" s="216"/>
      <c r="L798" s="216"/>
      <c r="M798" s="216"/>
      <c r="N798" s="216"/>
      <c r="O798" s="217"/>
      <c r="P798" s="217"/>
      <c r="Q798" s="217"/>
    </row>
    <row r="799" spans="1:17" s="111" customFormat="1" ht="38.25">
      <c r="A799" s="201"/>
      <c r="B799" s="195" t="s">
        <v>891</v>
      </c>
      <c r="C799" s="215"/>
      <c r="D799" s="215"/>
      <c r="E799" s="215"/>
      <c r="F799" s="215">
        <f t="shared" si="53"/>
        <v>49513</v>
      </c>
      <c r="G799" s="215">
        <v>49513</v>
      </c>
      <c r="H799" s="215"/>
      <c r="I799" s="216"/>
      <c r="J799" s="216"/>
      <c r="K799" s="216"/>
      <c r="L799" s="216"/>
      <c r="M799" s="216"/>
      <c r="N799" s="216"/>
      <c r="O799" s="217"/>
      <c r="P799" s="217"/>
      <c r="Q799" s="217"/>
    </row>
    <row r="800" spans="1:17" s="111" customFormat="1" ht="38.25">
      <c r="A800" s="201"/>
      <c r="B800" s="195" t="s">
        <v>892</v>
      </c>
      <c r="C800" s="215"/>
      <c r="D800" s="215"/>
      <c r="E800" s="215"/>
      <c r="F800" s="215">
        <f t="shared" si="53"/>
        <v>2471</v>
      </c>
      <c r="G800" s="215">
        <v>2471</v>
      </c>
      <c r="H800" s="215"/>
      <c r="I800" s="216"/>
      <c r="J800" s="216"/>
      <c r="K800" s="216"/>
      <c r="L800" s="216"/>
      <c r="M800" s="216"/>
      <c r="N800" s="216"/>
      <c r="O800" s="217"/>
      <c r="P800" s="217"/>
      <c r="Q800" s="217"/>
    </row>
    <row r="801" spans="1:18" s="111" customFormat="1" ht="63.75">
      <c r="A801" s="201"/>
      <c r="B801" s="195" t="s">
        <v>893</v>
      </c>
      <c r="C801" s="215"/>
      <c r="D801" s="215"/>
      <c r="E801" s="215"/>
      <c r="F801" s="215">
        <f t="shared" si="53"/>
        <v>2180</v>
      </c>
      <c r="G801" s="215">
        <v>2180</v>
      </c>
      <c r="H801" s="215"/>
      <c r="I801" s="113"/>
      <c r="J801" s="113"/>
      <c r="K801" s="113"/>
      <c r="L801" s="113"/>
      <c r="M801" s="113"/>
      <c r="N801" s="216"/>
      <c r="O801" s="190"/>
      <c r="P801" s="190"/>
      <c r="Q801" s="190"/>
    </row>
    <row r="802" spans="1:18" s="111" customFormat="1" ht="25.5">
      <c r="A802" s="201"/>
      <c r="B802" s="195" t="s">
        <v>894</v>
      </c>
      <c r="C802" s="215"/>
      <c r="D802" s="215"/>
      <c r="E802" s="215"/>
      <c r="F802" s="215">
        <f t="shared" si="53"/>
        <v>101</v>
      </c>
      <c r="G802" s="215">
        <v>101</v>
      </c>
      <c r="H802" s="215"/>
      <c r="I802" s="181"/>
      <c r="J802" s="181"/>
      <c r="K802" s="181"/>
      <c r="L802" s="181"/>
      <c r="M802" s="181"/>
      <c r="N802" s="216"/>
      <c r="O802" s="190"/>
      <c r="P802" s="190"/>
      <c r="Q802" s="190"/>
    </row>
    <row r="803" spans="1:18" s="4" customFormat="1" ht="38.25">
      <c r="A803" s="201"/>
      <c r="B803" s="195" t="s">
        <v>895</v>
      </c>
      <c r="C803" s="215"/>
      <c r="D803" s="215"/>
      <c r="E803" s="215"/>
      <c r="F803" s="215">
        <f t="shared" si="53"/>
        <v>8091</v>
      </c>
      <c r="G803" s="215">
        <v>8091</v>
      </c>
      <c r="H803" s="215"/>
      <c r="I803" s="181"/>
      <c r="J803" s="181"/>
      <c r="K803" s="181"/>
      <c r="L803" s="181"/>
      <c r="M803" s="181"/>
      <c r="N803" s="18"/>
      <c r="O803" s="190"/>
      <c r="P803" s="190"/>
      <c r="Q803" s="190"/>
    </row>
    <row r="804" spans="1:18" s="117" customFormat="1" ht="25.5">
      <c r="A804" s="201"/>
      <c r="B804" s="195" t="s">
        <v>896</v>
      </c>
      <c r="C804" s="215"/>
      <c r="D804" s="215"/>
      <c r="E804" s="215"/>
      <c r="F804" s="215">
        <f t="shared" si="53"/>
        <v>16323</v>
      </c>
      <c r="G804" s="215">
        <v>16323</v>
      </c>
      <c r="H804" s="215"/>
      <c r="I804" s="181"/>
      <c r="J804" s="181"/>
      <c r="K804" s="181"/>
      <c r="L804" s="181"/>
      <c r="M804" s="181"/>
      <c r="N804" s="218"/>
      <c r="O804" s="190"/>
      <c r="P804" s="190"/>
      <c r="Q804" s="190"/>
    </row>
    <row r="805" spans="1:18" s="4" customFormat="1" ht="25.5">
      <c r="A805" s="201"/>
      <c r="B805" s="195" t="s">
        <v>897</v>
      </c>
      <c r="C805" s="215"/>
      <c r="D805" s="215"/>
      <c r="E805" s="215"/>
      <c r="F805" s="215">
        <f t="shared" si="53"/>
        <v>700</v>
      </c>
      <c r="G805" s="215">
        <v>700</v>
      </c>
      <c r="H805" s="215"/>
      <c r="I805" s="181"/>
      <c r="J805" s="181"/>
      <c r="K805" s="181"/>
      <c r="L805" s="181"/>
      <c r="M805" s="181"/>
      <c r="N805" s="18"/>
      <c r="O805" s="190"/>
      <c r="P805" s="190"/>
      <c r="Q805" s="190"/>
    </row>
    <row r="806" spans="1:18" s="4" customFormat="1" ht="38.25">
      <c r="A806" s="201"/>
      <c r="B806" s="195" t="s">
        <v>898</v>
      </c>
      <c r="C806" s="215"/>
      <c r="D806" s="215"/>
      <c r="E806" s="215"/>
      <c r="F806" s="215">
        <f t="shared" si="53"/>
        <v>1056</v>
      </c>
      <c r="G806" s="215">
        <v>1056</v>
      </c>
      <c r="H806" s="215"/>
      <c r="I806" s="181"/>
      <c r="J806" s="181"/>
      <c r="K806" s="181"/>
      <c r="L806" s="181"/>
      <c r="M806" s="181"/>
      <c r="N806" s="18"/>
      <c r="O806" s="190"/>
      <c r="P806" s="190"/>
      <c r="Q806" s="190"/>
    </row>
    <row r="807" spans="1:18" ht="18.75">
      <c r="A807" s="201"/>
      <c r="B807" s="195" t="s">
        <v>899</v>
      </c>
      <c r="C807" s="215"/>
      <c r="D807" s="215"/>
      <c r="E807" s="215"/>
      <c r="F807" s="215">
        <f t="shared" si="53"/>
        <v>849</v>
      </c>
      <c r="G807" s="215">
        <v>849</v>
      </c>
      <c r="H807" s="215"/>
      <c r="I807" s="219"/>
      <c r="J807" s="219"/>
      <c r="K807" s="219"/>
      <c r="L807" s="219"/>
      <c r="M807" s="219"/>
      <c r="N807" s="219"/>
      <c r="O807" s="220"/>
      <c r="P807" s="220"/>
      <c r="Q807" s="220"/>
      <c r="R807" s="40"/>
    </row>
    <row r="808" spans="1:18" ht="38.25">
      <c r="A808" s="201"/>
      <c r="B808" s="195" t="s">
        <v>900</v>
      </c>
      <c r="C808" s="215"/>
      <c r="D808" s="215"/>
      <c r="E808" s="215"/>
      <c r="F808" s="215">
        <f t="shared" si="53"/>
        <v>920</v>
      </c>
      <c r="G808" s="215">
        <v>920</v>
      </c>
      <c r="H808" s="215"/>
      <c r="I808" s="219"/>
      <c r="J808" s="219"/>
      <c r="K808" s="219"/>
      <c r="L808" s="219"/>
      <c r="M808" s="219"/>
      <c r="N808" s="219"/>
      <c r="O808" s="221"/>
      <c r="P808" s="221"/>
      <c r="Q808" s="221"/>
      <c r="R808" s="40"/>
    </row>
    <row r="809" spans="1:18" ht="25.5">
      <c r="A809" s="201"/>
      <c r="B809" s="195" t="s">
        <v>901</v>
      </c>
      <c r="C809" s="215"/>
      <c r="D809" s="215"/>
      <c r="E809" s="215"/>
      <c r="F809" s="215">
        <f t="shared" si="53"/>
        <v>4160</v>
      </c>
      <c r="G809" s="215">
        <v>4160</v>
      </c>
      <c r="H809" s="215"/>
      <c r="I809" s="219"/>
      <c r="J809" s="219"/>
      <c r="K809" s="219"/>
      <c r="L809" s="219"/>
      <c r="M809" s="219"/>
      <c r="N809" s="219"/>
      <c r="O809" s="219"/>
      <c r="P809" s="219"/>
      <c r="Q809" s="219"/>
      <c r="R809" s="40"/>
    </row>
    <row r="810" spans="1:18" ht="38.25">
      <c r="A810" s="201"/>
      <c r="B810" s="195" t="s">
        <v>902</v>
      </c>
      <c r="C810" s="215"/>
      <c r="D810" s="215"/>
      <c r="E810" s="215"/>
      <c r="F810" s="215">
        <f t="shared" si="53"/>
        <v>1926</v>
      </c>
      <c r="G810" s="215">
        <v>1926</v>
      </c>
      <c r="H810" s="215"/>
      <c r="I810" s="219"/>
      <c r="J810" s="219"/>
      <c r="K810" s="219"/>
      <c r="L810" s="219"/>
      <c r="M810" s="219"/>
      <c r="N810" s="219"/>
      <c r="O810" s="219"/>
      <c r="P810" s="219"/>
      <c r="Q810" s="219"/>
      <c r="R810" s="40"/>
    </row>
    <row r="811" spans="1:18" ht="38.25">
      <c r="A811" s="201"/>
      <c r="B811" s="195" t="s">
        <v>903</v>
      </c>
      <c r="C811" s="215"/>
      <c r="D811" s="215"/>
      <c r="E811" s="215"/>
      <c r="F811" s="215">
        <f t="shared" si="53"/>
        <v>6135</v>
      </c>
      <c r="G811" s="215">
        <v>6135</v>
      </c>
      <c r="H811" s="215"/>
      <c r="I811" s="219"/>
      <c r="J811" s="219"/>
      <c r="K811" s="219"/>
      <c r="L811" s="219"/>
      <c r="M811" s="219"/>
      <c r="N811" s="219"/>
      <c r="O811" s="219"/>
      <c r="P811" s="219"/>
      <c r="Q811" s="219"/>
      <c r="R811" s="40"/>
    </row>
    <row r="812" spans="1:18" ht="25.5">
      <c r="A812" s="201"/>
      <c r="B812" s="195" t="s">
        <v>904</v>
      </c>
      <c r="C812" s="215"/>
      <c r="D812" s="215"/>
      <c r="E812" s="215"/>
      <c r="F812" s="215">
        <f t="shared" si="53"/>
        <v>1182</v>
      </c>
      <c r="G812" s="215">
        <v>1182</v>
      </c>
      <c r="H812" s="215"/>
      <c r="I812" s="219"/>
      <c r="J812" s="219"/>
      <c r="K812" s="219"/>
      <c r="L812" s="219"/>
      <c r="M812" s="219"/>
      <c r="N812" s="219"/>
      <c r="O812" s="219"/>
      <c r="P812" s="219"/>
      <c r="Q812" s="219"/>
      <c r="R812" s="40"/>
    </row>
    <row r="813" spans="1:18" ht="25.5">
      <c r="A813" s="201"/>
      <c r="B813" s="195" t="s">
        <v>905</v>
      </c>
      <c r="C813" s="215"/>
      <c r="D813" s="215"/>
      <c r="E813" s="215"/>
      <c r="F813" s="215">
        <f t="shared" si="53"/>
        <v>1041</v>
      </c>
      <c r="G813" s="215">
        <v>1041</v>
      </c>
      <c r="H813" s="215"/>
      <c r="I813" s="219"/>
      <c r="J813" s="219"/>
      <c r="K813" s="219"/>
      <c r="L813" s="219"/>
      <c r="M813" s="219"/>
      <c r="N813" s="219"/>
      <c r="O813" s="219"/>
      <c r="P813" s="219"/>
      <c r="Q813" s="219"/>
      <c r="R813" s="40"/>
    </row>
    <row r="814" spans="1:18" ht="25.5">
      <c r="A814" s="201"/>
      <c r="B814" s="195" t="s">
        <v>906</v>
      </c>
      <c r="C814" s="215"/>
      <c r="D814" s="215"/>
      <c r="E814" s="215"/>
      <c r="F814" s="215">
        <f t="shared" si="53"/>
        <v>11144</v>
      </c>
      <c r="G814" s="215">
        <v>11144</v>
      </c>
      <c r="H814" s="215"/>
      <c r="I814" s="219"/>
      <c r="J814" s="219"/>
      <c r="K814" s="219"/>
      <c r="L814" s="219"/>
      <c r="M814" s="219"/>
      <c r="N814" s="219"/>
      <c r="O814" s="219"/>
      <c r="P814" s="219"/>
      <c r="Q814" s="219"/>
      <c r="R814" s="40"/>
    </row>
    <row r="815" spans="1:18" ht="25.5">
      <c r="A815" s="201"/>
      <c r="B815" s="195" t="s">
        <v>907</v>
      </c>
      <c r="C815" s="215"/>
      <c r="D815" s="215"/>
      <c r="E815" s="215"/>
      <c r="F815" s="215">
        <f t="shared" si="53"/>
        <v>1681</v>
      </c>
      <c r="G815" s="215">
        <v>1681</v>
      </c>
      <c r="H815" s="215"/>
      <c r="I815" s="219"/>
      <c r="J815" s="219"/>
      <c r="K815" s="219"/>
      <c r="L815" s="219"/>
      <c r="M815" s="219"/>
      <c r="N815" s="219"/>
      <c r="O815" s="219"/>
      <c r="P815" s="219"/>
      <c r="Q815" s="219"/>
      <c r="R815" s="40"/>
    </row>
    <row r="816" spans="1:18" ht="38.25">
      <c r="A816" s="201"/>
      <c r="B816" s="195" t="s">
        <v>908</v>
      </c>
      <c r="C816" s="215"/>
      <c r="D816" s="215"/>
      <c r="E816" s="215"/>
      <c r="F816" s="215">
        <f t="shared" si="53"/>
        <v>618</v>
      </c>
      <c r="G816" s="215">
        <v>618</v>
      </c>
      <c r="H816" s="215"/>
      <c r="I816" s="219"/>
      <c r="J816" s="219"/>
      <c r="K816" s="219"/>
      <c r="L816" s="219"/>
      <c r="M816" s="219"/>
      <c r="N816" s="219"/>
      <c r="O816" s="219"/>
      <c r="P816" s="219"/>
      <c r="Q816" s="219"/>
      <c r="R816" s="40"/>
    </row>
    <row r="817" spans="1:18" ht="25.5">
      <c r="A817" s="201"/>
      <c r="B817" s="195" t="s">
        <v>909</v>
      </c>
      <c r="C817" s="215"/>
      <c r="D817" s="215"/>
      <c r="E817" s="215"/>
      <c r="F817" s="215">
        <f t="shared" si="53"/>
        <v>1719</v>
      </c>
      <c r="G817" s="215">
        <v>1719</v>
      </c>
      <c r="H817" s="215"/>
      <c r="I817" s="219"/>
      <c r="J817" s="219"/>
      <c r="K817" s="219"/>
      <c r="L817" s="219"/>
      <c r="M817" s="219"/>
      <c r="N817" s="219"/>
      <c r="O817" s="219"/>
      <c r="P817" s="219"/>
      <c r="Q817" s="219"/>
      <c r="R817" s="40"/>
    </row>
    <row r="818" spans="1:18" ht="25.5">
      <c r="A818" s="201"/>
      <c r="B818" s="195" t="s">
        <v>910</v>
      </c>
      <c r="C818" s="215"/>
      <c r="D818" s="215"/>
      <c r="E818" s="215"/>
      <c r="F818" s="215">
        <f t="shared" si="53"/>
        <v>111</v>
      </c>
      <c r="G818" s="215">
        <v>111</v>
      </c>
      <c r="H818" s="215"/>
      <c r="I818" s="219"/>
      <c r="J818" s="219"/>
      <c r="K818" s="219"/>
      <c r="L818" s="219"/>
      <c r="M818" s="219"/>
      <c r="N818" s="219"/>
      <c r="O818" s="219"/>
      <c r="P818" s="219"/>
      <c r="Q818" s="219"/>
      <c r="R818" s="40"/>
    </row>
    <row r="819" spans="1:18" ht="25.5">
      <c r="A819" s="201"/>
      <c r="B819" s="195" t="s">
        <v>911</v>
      </c>
      <c r="C819" s="215"/>
      <c r="D819" s="215"/>
      <c r="E819" s="215"/>
      <c r="F819" s="215">
        <f t="shared" si="53"/>
        <v>1000</v>
      </c>
      <c r="G819" s="215">
        <v>1000</v>
      </c>
      <c r="H819" s="215"/>
      <c r="I819" s="219"/>
      <c r="J819" s="219"/>
      <c r="K819" s="219"/>
      <c r="L819" s="219"/>
      <c r="M819" s="219"/>
      <c r="N819" s="219"/>
      <c r="O819" s="219"/>
      <c r="P819" s="219"/>
      <c r="Q819" s="219"/>
      <c r="R819" s="40"/>
    </row>
    <row r="820" spans="1:18" ht="25.5">
      <c r="A820" s="201"/>
      <c r="B820" s="195" t="s">
        <v>912</v>
      </c>
      <c r="C820" s="215"/>
      <c r="D820" s="215"/>
      <c r="E820" s="215"/>
      <c r="F820" s="215">
        <f t="shared" si="53"/>
        <v>4962</v>
      </c>
      <c r="G820" s="215">
        <v>4962</v>
      </c>
      <c r="H820" s="215"/>
      <c r="I820" s="219"/>
      <c r="J820" s="219"/>
      <c r="K820" s="219"/>
      <c r="L820" s="219"/>
      <c r="M820" s="219"/>
      <c r="N820" s="219"/>
      <c r="O820" s="219"/>
      <c r="P820" s="219"/>
      <c r="Q820" s="219"/>
      <c r="R820" s="40"/>
    </row>
    <row r="821" spans="1:18" ht="25.5">
      <c r="A821" s="201"/>
      <c r="B821" s="195" t="s">
        <v>913</v>
      </c>
      <c r="C821" s="215"/>
      <c r="D821" s="215"/>
      <c r="E821" s="215"/>
      <c r="F821" s="215">
        <f t="shared" si="53"/>
        <v>6866</v>
      </c>
      <c r="G821" s="215">
        <v>6866</v>
      </c>
      <c r="H821" s="215"/>
      <c r="I821" s="219"/>
      <c r="J821" s="219"/>
      <c r="K821" s="219"/>
      <c r="L821" s="219"/>
      <c r="M821" s="219"/>
      <c r="N821" s="219"/>
      <c r="O821" s="219"/>
      <c r="P821" s="219"/>
      <c r="Q821" s="219"/>
      <c r="R821" s="40"/>
    </row>
    <row r="822" spans="1:18" ht="38.25">
      <c r="A822" s="201"/>
      <c r="B822" s="195" t="s">
        <v>914</v>
      </c>
      <c r="C822" s="215"/>
      <c r="D822" s="215"/>
      <c r="E822" s="215"/>
      <c r="F822" s="215">
        <f t="shared" si="53"/>
        <v>1500</v>
      </c>
      <c r="G822" s="215">
        <v>1500</v>
      </c>
      <c r="H822" s="215"/>
      <c r="I822" s="219"/>
      <c r="J822" s="219"/>
      <c r="K822" s="219"/>
      <c r="L822" s="219"/>
      <c r="M822" s="219"/>
      <c r="N822" s="219"/>
      <c r="O822" s="219"/>
      <c r="P822" s="219"/>
      <c r="Q822" s="219"/>
      <c r="R822" s="40"/>
    </row>
    <row r="823" spans="1:18" ht="25.5">
      <c r="A823" s="201"/>
      <c r="B823" s="195" t="s">
        <v>915</v>
      </c>
      <c r="C823" s="215"/>
      <c r="D823" s="215"/>
      <c r="E823" s="215"/>
      <c r="F823" s="215">
        <f t="shared" si="53"/>
        <v>2779</v>
      </c>
      <c r="G823" s="215">
        <v>2779</v>
      </c>
      <c r="H823" s="215"/>
      <c r="I823" s="222"/>
      <c r="J823" s="222"/>
      <c r="K823" s="222"/>
      <c r="L823" s="222"/>
      <c r="M823" s="222"/>
      <c r="N823" s="222"/>
      <c r="O823" s="222"/>
      <c r="P823" s="222"/>
      <c r="Q823" s="222"/>
    </row>
    <row r="824" spans="1:18" ht="38.25">
      <c r="A824" s="201"/>
      <c r="B824" s="195" t="s">
        <v>916</v>
      </c>
      <c r="C824" s="215"/>
      <c r="D824" s="215"/>
      <c r="E824" s="215"/>
      <c r="F824" s="215">
        <f t="shared" si="53"/>
        <v>1156</v>
      </c>
      <c r="G824" s="215">
        <v>1156</v>
      </c>
      <c r="H824" s="215"/>
      <c r="I824" s="222"/>
      <c r="J824" s="222"/>
      <c r="K824" s="222"/>
      <c r="L824" s="222"/>
      <c r="M824" s="222"/>
      <c r="N824" s="222"/>
      <c r="O824" s="222"/>
      <c r="P824" s="222"/>
      <c r="Q824" s="222"/>
    </row>
    <row r="825" spans="1:18" ht="25.5">
      <c r="A825" s="201"/>
      <c r="B825" s="195" t="s">
        <v>917</v>
      </c>
      <c r="C825" s="215"/>
      <c r="D825" s="215"/>
      <c r="E825" s="215"/>
      <c r="F825" s="215">
        <f t="shared" ref="F825:F857" si="54">G825+L825</f>
        <v>4171</v>
      </c>
      <c r="G825" s="215">
        <v>4171</v>
      </c>
      <c r="H825" s="215"/>
      <c r="I825" s="222"/>
      <c r="J825" s="222"/>
      <c r="K825" s="222"/>
      <c r="L825" s="222"/>
      <c r="M825" s="222"/>
      <c r="N825" s="222"/>
      <c r="O825" s="222"/>
      <c r="P825" s="222"/>
      <c r="Q825" s="222"/>
    </row>
    <row r="826" spans="1:18" ht="25.5">
      <c r="A826" s="201"/>
      <c r="B826" s="195" t="s">
        <v>918</v>
      </c>
      <c r="C826" s="215"/>
      <c r="D826" s="215"/>
      <c r="E826" s="215"/>
      <c r="F826" s="215">
        <f t="shared" si="54"/>
        <v>3480</v>
      </c>
      <c r="G826" s="215">
        <v>3480</v>
      </c>
      <c r="H826" s="215"/>
      <c r="I826" s="222"/>
      <c r="J826" s="222"/>
      <c r="K826" s="222"/>
      <c r="L826" s="222"/>
      <c r="M826" s="222"/>
      <c r="N826" s="222"/>
      <c r="O826" s="222"/>
      <c r="P826" s="222"/>
      <c r="Q826" s="222"/>
    </row>
    <row r="827" spans="1:18" ht="38.25">
      <c r="A827" s="201"/>
      <c r="B827" s="195" t="s">
        <v>919</v>
      </c>
      <c r="C827" s="215"/>
      <c r="D827" s="215"/>
      <c r="E827" s="215"/>
      <c r="F827" s="215">
        <f t="shared" si="54"/>
        <v>500</v>
      </c>
      <c r="G827" s="215">
        <v>500</v>
      </c>
      <c r="H827" s="215"/>
      <c r="I827" s="222"/>
      <c r="J827" s="222"/>
      <c r="K827" s="222"/>
      <c r="L827" s="222"/>
      <c r="M827" s="222"/>
      <c r="N827" s="222"/>
      <c r="O827" s="222"/>
      <c r="P827" s="222"/>
      <c r="Q827" s="222"/>
    </row>
    <row r="828" spans="1:18" ht="25.5">
      <c r="A828" s="193" t="s">
        <v>920</v>
      </c>
      <c r="B828" s="194" t="s">
        <v>921</v>
      </c>
      <c r="C828" s="213">
        <v>322251.62800000003</v>
      </c>
      <c r="D828" s="213">
        <v>322251.62800000003</v>
      </c>
      <c r="E828" s="213"/>
      <c r="F828" s="213">
        <f>G828+L828</f>
        <v>399865.65232500003</v>
      </c>
      <c r="G828" s="213">
        <f>SUM(G829:G857)</f>
        <v>399865.65232500003</v>
      </c>
      <c r="H828" s="213">
        <f t="shared" ref="H828" si="55">SUM(H829:H851)</f>
        <v>0</v>
      </c>
      <c r="I828" s="222"/>
      <c r="J828" s="222"/>
      <c r="K828" s="222"/>
      <c r="L828" s="222"/>
      <c r="M828" s="222"/>
      <c r="N828" s="222"/>
      <c r="O828" s="223">
        <f t="shared" ref="O828:P843" si="56">F828/C828*100</f>
        <v>124.08491302486142</v>
      </c>
      <c r="P828" s="223">
        <f t="shared" si="56"/>
        <v>124.08491302486142</v>
      </c>
      <c r="Q828" s="222"/>
    </row>
    <row r="829" spans="1:18" ht="25.5">
      <c r="A829" s="201"/>
      <c r="B829" s="195" t="s">
        <v>922</v>
      </c>
      <c r="C829" s="215">
        <v>29810</v>
      </c>
      <c r="D829" s="215">
        <v>29810</v>
      </c>
      <c r="E829" s="215"/>
      <c r="F829" s="215">
        <f t="shared" si="54"/>
        <v>36825</v>
      </c>
      <c r="G829" s="215">
        <v>36825</v>
      </c>
      <c r="H829" s="215"/>
      <c r="I829" s="222"/>
      <c r="J829" s="222"/>
      <c r="K829" s="222"/>
      <c r="L829" s="222"/>
      <c r="M829" s="222"/>
      <c r="N829" s="222"/>
      <c r="O829" s="223">
        <f t="shared" si="56"/>
        <v>123.53237168735322</v>
      </c>
      <c r="P829" s="223">
        <f t="shared" si="56"/>
        <v>123.53237168735322</v>
      </c>
      <c r="Q829" s="222"/>
    </row>
    <row r="830" spans="1:18" ht="25.5">
      <c r="A830" s="201"/>
      <c r="B830" s="195" t="s">
        <v>599</v>
      </c>
      <c r="C830" s="215">
        <v>0</v>
      </c>
      <c r="D830" s="215">
        <v>0</v>
      </c>
      <c r="E830" s="215"/>
      <c r="F830" s="215">
        <f t="shared" si="54"/>
        <v>222</v>
      </c>
      <c r="G830" s="215">
        <v>222</v>
      </c>
      <c r="H830" s="215"/>
      <c r="I830" s="222"/>
      <c r="J830" s="222"/>
      <c r="K830" s="222"/>
      <c r="L830" s="222"/>
      <c r="M830" s="222"/>
      <c r="N830" s="222"/>
      <c r="O830" s="223"/>
      <c r="P830" s="223"/>
      <c r="Q830" s="222"/>
    </row>
    <row r="831" spans="1:18" ht="25.5">
      <c r="A831" s="201"/>
      <c r="B831" s="195" t="s">
        <v>923</v>
      </c>
      <c r="C831" s="215">
        <v>368.35700000000003</v>
      </c>
      <c r="D831" s="215">
        <v>368.35700000000003</v>
      </c>
      <c r="E831" s="215"/>
      <c r="F831" s="215">
        <f t="shared" si="54"/>
        <v>368</v>
      </c>
      <c r="G831" s="215">
        <v>368</v>
      </c>
      <c r="H831" s="215"/>
      <c r="I831" s="222"/>
      <c r="J831" s="222"/>
      <c r="K831" s="222"/>
      <c r="L831" s="222"/>
      <c r="M831" s="222"/>
      <c r="N831" s="222"/>
      <c r="O831" s="223">
        <f t="shared" si="56"/>
        <v>99.903083150313407</v>
      </c>
      <c r="P831" s="223">
        <f t="shared" si="56"/>
        <v>99.903083150313407</v>
      </c>
      <c r="Q831" s="222"/>
    </row>
    <row r="832" spans="1:18" ht="38.25">
      <c r="A832" s="201"/>
      <c r="B832" s="195" t="s">
        <v>924</v>
      </c>
      <c r="C832" s="215">
        <v>13529</v>
      </c>
      <c r="D832" s="215">
        <v>13529</v>
      </c>
      <c r="E832" s="215"/>
      <c r="F832" s="215">
        <f t="shared" si="54"/>
        <v>13529</v>
      </c>
      <c r="G832" s="215">
        <v>13529</v>
      </c>
      <c r="H832" s="215"/>
      <c r="I832" s="222"/>
      <c r="J832" s="222"/>
      <c r="K832" s="222"/>
      <c r="L832" s="222"/>
      <c r="M832" s="222"/>
      <c r="N832" s="222"/>
      <c r="O832" s="223">
        <f t="shared" si="56"/>
        <v>100</v>
      </c>
      <c r="P832" s="223">
        <f t="shared" si="56"/>
        <v>100</v>
      </c>
      <c r="Q832" s="222"/>
    </row>
    <row r="833" spans="1:17" ht="38.25">
      <c r="A833" s="201"/>
      <c r="B833" s="195" t="s">
        <v>925</v>
      </c>
      <c r="C833" s="215">
        <v>57.8</v>
      </c>
      <c r="D833" s="215">
        <v>57.8</v>
      </c>
      <c r="E833" s="215"/>
      <c r="F833" s="215">
        <f t="shared" si="54"/>
        <v>58</v>
      </c>
      <c r="G833" s="215">
        <v>58</v>
      </c>
      <c r="H833" s="215"/>
      <c r="I833" s="222"/>
      <c r="J833" s="222"/>
      <c r="K833" s="222"/>
      <c r="L833" s="222"/>
      <c r="M833" s="222"/>
      <c r="N833" s="222"/>
      <c r="O833" s="223">
        <f t="shared" si="56"/>
        <v>100.34602076124568</v>
      </c>
      <c r="P833" s="223">
        <f t="shared" si="56"/>
        <v>100.34602076124568</v>
      </c>
      <c r="Q833" s="222"/>
    </row>
    <row r="834" spans="1:17" ht="25.5">
      <c r="A834" s="201"/>
      <c r="B834" s="195" t="s">
        <v>926</v>
      </c>
      <c r="C834" s="215">
        <v>0</v>
      </c>
      <c r="D834" s="215">
        <v>0</v>
      </c>
      <c r="E834" s="215"/>
      <c r="F834" s="215">
        <f t="shared" si="54"/>
        <v>60</v>
      </c>
      <c r="G834" s="215">
        <v>60</v>
      </c>
      <c r="H834" s="215"/>
      <c r="I834" s="222"/>
      <c r="J834" s="222"/>
      <c r="K834" s="222"/>
      <c r="L834" s="222"/>
      <c r="M834" s="222"/>
      <c r="N834" s="222"/>
      <c r="O834" s="223"/>
      <c r="P834" s="223"/>
      <c r="Q834" s="222"/>
    </row>
    <row r="835" spans="1:17">
      <c r="A835" s="201"/>
      <c r="B835" s="195" t="s">
        <v>927</v>
      </c>
      <c r="C835" s="215">
        <v>6.4630000000000001</v>
      </c>
      <c r="D835" s="215">
        <v>6.4630000000000001</v>
      </c>
      <c r="E835" s="215"/>
      <c r="F835" s="215">
        <f t="shared" si="54"/>
        <v>6</v>
      </c>
      <c r="G835" s="215">
        <v>6</v>
      </c>
      <c r="H835" s="215"/>
      <c r="I835" s="222"/>
      <c r="J835" s="222"/>
      <c r="K835" s="222"/>
      <c r="L835" s="222"/>
      <c r="M835" s="222"/>
      <c r="N835" s="222"/>
      <c r="O835" s="223">
        <f t="shared" si="56"/>
        <v>92.836144205477339</v>
      </c>
      <c r="P835" s="223">
        <f t="shared" si="56"/>
        <v>92.836144205477339</v>
      </c>
      <c r="Q835" s="222"/>
    </row>
    <row r="836" spans="1:17" ht="25.5">
      <c r="A836" s="201"/>
      <c r="B836" s="195" t="s">
        <v>928</v>
      </c>
      <c r="C836" s="215">
        <v>4309.8130000000001</v>
      </c>
      <c r="D836" s="215">
        <v>4309.8130000000001</v>
      </c>
      <c r="E836" s="215"/>
      <c r="F836" s="215">
        <f t="shared" si="54"/>
        <v>4310</v>
      </c>
      <c r="G836" s="215">
        <v>4310</v>
      </c>
      <c r="H836" s="215"/>
      <c r="I836" s="222"/>
      <c r="J836" s="222"/>
      <c r="K836" s="222"/>
      <c r="L836" s="222"/>
      <c r="M836" s="222"/>
      <c r="N836" s="222"/>
      <c r="O836" s="223">
        <f t="shared" si="56"/>
        <v>100.00433893535521</v>
      </c>
      <c r="P836" s="223">
        <f t="shared" si="56"/>
        <v>100.00433893535521</v>
      </c>
      <c r="Q836" s="222"/>
    </row>
    <row r="837" spans="1:17" ht="38.25">
      <c r="A837" s="201"/>
      <c r="B837" s="195" t="s">
        <v>929</v>
      </c>
      <c r="C837" s="215">
        <v>0</v>
      </c>
      <c r="D837" s="215">
        <v>0</v>
      </c>
      <c r="E837" s="215"/>
      <c r="F837" s="215">
        <f t="shared" si="54"/>
        <v>15609</v>
      </c>
      <c r="G837" s="215">
        <v>15609</v>
      </c>
      <c r="H837" s="215"/>
      <c r="I837" s="222"/>
      <c r="J837" s="222"/>
      <c r="K837" s="222"/>
      <c r="L837" s="222"/>
      <c r="M837" s="222"/>
      <c r="N837" s="222"/>
      <c r="O837" s="223"/>
      <c r="P837" s="223"/>
      <c r="Q837" s="222"/>
    </row>
    <row r="838" spans="1:17" ht="25.5">
      <c r="A838" s="201"/>
      <c r="B838" s="195" t="s">
        <v>930</v>
      </c>
      <c r="C838" s="215">
        <v>14.25</v>
      </c>
      <c r="D838" s="215">
        <v>14.25</v>
      </c>
      <c r="E838" s="215"/>
      <c r="F838" s="215">
        <f t="shared" si="54"/>
        <v>14</v>
      </c>
      <c r="G838" s="215">
        <v>14</v>
      </c>
      <c r="H838" s="215"/>
      <c r="I838" s="222"/>
      <c r="J838" s="222"/>
      <c r="K838" s="222"/>
      <c r="L838" s="222"/>
      <c r="M838" s="222"/>
      <c r="N838" s="222"/>
      <c r="O838" s="223">
        <f t="shared" si="56"/>
        <v>98.245614035087712</v>
      </c>
      <c r="P838" s="223">
        <f t="shared" si="56"/>
        <v>98.245614035087712</v>
      </c>
      <c r="Q838" s="222"/>
    </row>
    <row r="839" spans="1:17" ht="25.5">
      <c r="A839" s="201"/>
      <c r="B839" s="195" t="s">
        <v>931</v>
      </c>
      <c r="C839" s="215">
        <v>9.2449999999999992</v>
      </c>
      <c r="D839" s="215">
        <v>9.2449999999999992</v>
      </c>
      <c r="E839" s="215"/>
      <c r="F839" s="215">
        <f t="shared" si="54"/>
        <v>9</v>
      </c>
      <c r="G839" s="215">
        <v>9</v>
      </c>
      <c r="H839" s="215"/>
      <c r="I839" s="222"/>
      <c r="J839" s="222"/>
      <c r="K839" s="222"/>
      <c r="L839" s="222"/>
      <c r="M839" s="222"/>
      <c r="N839" s="222"/>
      <c r="O839" s="223">
        <f t="shared" si="56"/>
        <v>97.349918875067615</v>
      </c>
      <c r="P839" s="223">
        <f t="shared" si="56"/>
        <v>97.349918875067615</v>
      </c>
      <c r="Q839" s="222"/>
    </row>
    <row r="840" spans="1:17" ht="25.5">
      <c r="A840" s="201"/>
      <c r="B840" s="195" t="s">
        <v>932</v>
      </c>
      <c r="C840" s="215">
        <v>36.700000000000003</v>
      </c>
      <c r="D840" s="215">
        <v>36.700000000000003</v>
      </c>
      <c r="E840" s="215"/>
      <c r="F840" s="215">
        <f t="shared" si="54"/>
        <v>37</v>
      </c>
      <c r="G840" s="215">
        <v>37</v>
      </c>
      <c r="H840" s="215"/>
      <c r="I840" s="222"/>
      <c r="J840" s="222"/>
      <c r="K840" s="222"/>
      <c r="L840" s="222"/>
      <c r="M840" s="222"/>
      <c r="N840" s="222"/>
      <c r="O840" s="223">
        <f t="shared" si="56"/>
        <v>100.81743869209809</v>
      </c>
      <c r="P840" s="223">
        <f t="shared" si="56"/>
        <v>100.81743869209809</v>
      </c>
      <c r="Q840" s="222"/>
    </row>
    <row r="841" spans="1:17" ht="25.5">
      <c r="A841" s="201"/>
      <c r="B841" s="195" t="s">
        <v>933</v>
      </c>
      <c r="C841" s="215">
        <v>9.5</v>
      </c>
      <c r="D841" s="215">
        <v>9.5</v>
      </c>
      <c r="E841" s="215"/>
      <c r="F841" s="215">
        <f t="shared" si="54"/>
        <v>10</v>
      </c>
      <c r="G841" s="215">
        <v>10</v>
      </c>
      <c r="H841" s="215"/>
      <c r="I841" s="222"/>
      <c r="J841" s="222"/>
      <c r="K841" s="222"/>
      <c r="L841" s="222"/>
      <c r="M841" s="222"/>
      <c r="N841" s="222"/>
      <c r="O841" s="223">
        <f t="shared" si="56"/>
        <v>105.26315789473684</v>
      </c>
      <c r="P841" s="223">
        <f t="shared" si="56"/>
        <v>105.26315789473684</v>
      </c>
      <c r="Q841" s="222"/>
    </row>
    <row r="842" spans="1:17" ht="25.5">
      <c r="A842" s="201"/>
      <c r="B842" s="195" t="s">
        <v>934</v>
      </c>
      <c r="C842" s="215">
        <v>28.5</v>
      </c>
      <c r="D842" s="215">
        <v>28.5</v>
      </c>
      <c r="E842" s="215"/>
      <c r="F842" s="215">
        <f t="shared" si="54"/>
        <v>29</v>
      </c>
      <c r="G842" s="215">
        <v>29</v>
      </c>
      <c r="H842" s="215"/>
      <c r="I842" s="222"/>
      <c r="J842" s="222"/>
      <c r="K842" s="222"/>
      <c r="L842" s="222"/>
      <c r="M842" s="222"/>
      <c r="N842" s="222"/>
      <c r="O842" s="223">
        <f t="shared" si="56"/>
        <v>101.75438596491229</v>
      </c>
      <c r="P842" s="223">
        <f t="shared" si="56"/>
        <v>101.75438596491229</v>
      </c>
      <c r="Q842" s="222"/>
    </row>
    <row r="843" spans="1:17" ht="38.25">
      <c r="A843" s="201"/>
      <c r="B843" s="195" t="s">
        <v>935</v>
      </c>
      <c r="C843" s="215">
        <v>32000</v>
      </c>
      <c r="D843" s="215">
        <v>32000</v>
      </c>
      <c r="E843" s="215"/>
      <c r="F843" s="215">
        <f t="shared" si="54"/>
        <v>94805</v>
      </c>
      <c r="G843" s="215">
        <v>94805</v>
      </c>
      <c r="H843" s="215"/>
      <c r="I843" s="222"/>
      <c r="J843" s="222"/>
      <c r="K843" s="222"/>
      <c r="L843" s="222"/>
      <c r="M843" s="222"/>
      <c r="N843" s="222"/>
      <c r="O843" s="223">
        <f t="shared" si="56"/>
        <v>296.265625</v>
      </c>
      <c r="P843" s="223">
        <f t="shared" si="56"/>
        <v>296.265625</v>
      </c>
      <c r="Q843" s="222"/>
    </row>
    <row r="844" spans="1:17" ht="25.5">
      <c r="A844" s="201"/>
      <c r="B844" s="195" t="s">
        <v>936</v>
      </c>
      <c r="C844" s="215">
        <v>0</v>
      </c>
      <c r="D844" s="215">
        <v>0</v>
      </c>
      <c r="E844" s="215"/>
      <c r="F844" s="215">
        <f t="shared" si="54"/>
        <v>2636</v>
      </c>
      <c r="G844" s="215">
        <v>2636</v>
      </c>
      <c r="H844" s="215"/>
      <c r="I844" s="222"/>
      <c r="J844" s="222"/>
      <c r="K844" s="222"/>
      <c r="L844" s="222"/>
      <c r="M844" s="222"/>
      <c r="N844" s="222"/>
      <c r="O844" s="223"/>
      <c r="P844" s="223"/>
      <c r="Q844" s="222"/>
    </row>
    <row r="845" spans="1:17">
      <c r="A845" s="201"/>
      <c r="B845" s="195" t="s">
        <v>937</v>
      </c>
      <c r="C845" s="215">
        <v>5000</v>
      </c>
      <c r="D845" s="215">
        <v>5000</v>
      </c>
      <c r="E845" s="215"/>
      <c r="F845" s="215">
        <f t="shared" si="54"/>
        <v>770</v>
      </c>
      <c r="G845" s="215">
        <v>770</v>
      </c>
      <c r="H845" s="215"/>
      <c r="I845" s="222"/>
      <c r="J845" s="222"/>
      <c r="K845" s="222"/>
      <c r="L845" s="222"/>
      <c r="M845" s="222"/>
      <c r="N845" s="222"/>
      <c r="O845" s="223">
        <f t="shared" ref="O845:P857" si="57">F845/C845*100</f>
        <v>15.4</v>
      </c>
      <c r="P845" s="223">
        <f t="shared" si="57"/>
        <v>15.4</v>
      </c>
      <c r="Q845" s="222"/>
    </row>
    <row r="846" spans="1:17">
      <c r="A846" s="201"/>
      <c r="B846" s="195" t="s">
        <v>938</v>
      </c>
      <c r="C846" s="215">
        <v>5000</v>
      </c>
      <c r="D846" s="215">
        <v>5000</v>
      </c>
      <c r="E846" s="215"/>
      <c r="F846" s="215">
        <f t="shared" si="54"/>
        <v>2613</v>
      </c>
      <c r="G846" s="215">
        <v>2613</v>
      </c>
      <c r="H846" s="215"/>
      <c r="I846" s="222"/>
      <c r="J846" s="222"/>
      <c r="K846" s="222"/>
      <c r="L846" s="222"/>
      <c r="M846" s="222"/>
      <c r="N846" s="222"/>
      <c r="O846" s="223">
        <f t="shared" si="57"/>
        <v>52.26</v>
      </c>
      <c r="P846" s="223">
        <f t="shared" si="57"/>
        <v>52.26</v>
      </c>
      <c r="Q846" s="222"/>
    </row>
    <row r="847" spans="1:17" ht="25.5">
      <c r="A847" s="214"/>
      <c r="B847" s="195" t="s">
        <v>939</v>
      </c>
      <c r="C847" s="215">
        <v>3000</v>
      </c>
      <c r="D847" s="215">
        <v>3000</v>
      </c>
      <c r="E847" s="215"/>
      <c r="F847" s="215">
        <f t="shared" si="54"/>
        <v>2109</v>
      </c>
      <c r="G847" s="215">
        <v>2109</v>
      </c>
      <c r="H847" s="215"/>
      <c r="I847" s="222"/>
      <c r="J847" s="222"/>
      <c r="K847" s="222"/>
      <c r="L847" s="222"/>
      <c r="M847" s="222"/>
      <c r="N847" s="222"/>
      <c r="O847" s="223">
        <f t="shared" si="57"/>
        <v>70.3</v>
      </c>
      <c r="P847" s="223">
        <f t="shared" si="57"/>
        <v>70.3</v>
      </c>
      <c r="Q847" s="222"/>
    </row>
    <row r="848" spans="1:17" ht="25.5">
      <c r="A848" s="214"/>
      <c r="B848" s="195" t="s">
        <v>940</v>
      </c>
      <c r="C848" s="215">
        <v>3000</v>
      </c>
      <c r="D848" s="215">
        <v>3000</v>
      </c>
      <c r="E848" s="215"/>
      <c r="F848" s="215">
        <f t="shared" si="54"/>
        <v>3000</v>
      </c>
      <c r="G848" s="215">
        <v>3000</v>
      </c>
      <c r="H848" s="215"/>
      <c r="I848" s="222"/>
      <c r="J848" s="222"/>
      <c r="K848" s="222"/>
      <c r="L848" s="222"/>
      <c r="M848" s="222"/>
      <c r="N848" s="222"/>
      <c r="O848" s="223">
        <f t="shared" si="57"/>
        <v>100</v>
      </c>
      <c r="P848" s="223">
        <f t="shared" si="57"/>
        <v>100</v>
      </c>
      <c r="Q848" s="222"/>
    </row>
    <row r="849" spans="1:17" ht="25.5">
      <c r="A849" s="201"/>
      <c r="B849" s="195" t="s">
        <v>941</v>
      </c>
      <c r="C849" s="215">
        <v>4920</v>
      </c>
      <c r="D849" s="215">
        <v>4920</v>
      </c>
      <c r="E849" s="215"/>
      <c r="F849" s="215">
        <f t="shared" si="54"/>
        <v>3523</v>
      </c>
      <c r="G849" s="215">
        <v>3523</v>
      </c>
      <c r="H849" s="215"/>
      <c r="I849" s="222"/>
      <c r="J849" s="222"/>
      <c r="K849" s="222"/>
      <c r="L849" s="222"/>
      <c r="M849" s="222"/>
      <c r="N849" s="222"/>
      <c r="O849" s="223">
        <f t="shared" si="57"/>
        <v>71.605691056910572</v>
      </c>
      <c r="P849" s="223">
        <f t="shared" si="57"/>
        <v>71.605691056910572</v>
      </c>
      <c r="Q849" s="222"/>
    </row>
    <row r="850" spans="1:17" ht="25.5">
      <c r="A850" s="201"/>
      <c r="B850" s="195" t="s">
        <v>942</v>
      </c>
      <c r="C850" s="215">
        <v>1620</v>
      </c>
      <c r="D850" s="215">
        <v>1620</v>
      </c>
      <c r="E850" s="215"/>
      <c r="F850" s="215">
        <f t="shared" si="54"/>
        <v>1536</v>
      </c>
      <c r="G850" s="215">
        <v>1536</v>
      </c>
      <c r="H850" s="215"/>
      <c r="I850" s="222"/>
      <c r="J850" s="222"/>
      <c r="K850" s="222"/>
      <c r="L850" s="222"/>
      <c r="M850" s="222"/>
      <c r="N850" s="222"/>
      <c r="O850" s="223">
        <f t="shared" si="57"/>
        <v>94.814814814814824</v>
      </c>
      <c r="P850" s="223">
        <f t="shared" si="57"/>
        <v>94.814814814814824</v>
      </c>
      <c r="Q850" s="222"/>
    </row>
    <row r="851" spans="1:17">
      <c r="A851" s="201"/>
      <c r="B851" s="195" t="s">
        <v>943</v>
      </c>
      <c r="C851" s="215">
        <v>662</v>
      </c>
      <c r="D851" s="215">
        <v>662</v>
      </c>
      <c r="E851" s="215"/>
      <c r="F851" s="215">
        <f t="shared" si="54"/>
        <v>144</v>
      </c>
      <c r="G851" s="215">
        <v>144</v>
      </c>
      <c r="H851" s="215"/>
      <c r="I851" s="222"/>
      <c r="J851" s="222"/>
      <c r="K851" s="222"/>
      <c r="L851" s="222"/>
      <c r="M851" s="222"/>
      <c r="N851" s="222"/>
      <c r="O851" s="223">
        <f t="shared" si="57"/>
        <v>21.75226586102719</v>
      </c>
      <c r="P851" s="223">
        <f t="shared" si="57"/>
        <v>21.75226586102719</v>
      </c>
      <c r="Q851" s="222"/>
    </row>
    <row r="852" spans="1:17">
      <c r="A852" s="201"/>
      <c r="B852" s="195" t="s">
        <v>944</v>
      </c>
      <c r="C852" s="215">
        <v>50000</v>
      </c>
      <c r="D852" s="215">
        <v>50000</v>
      </c>
      <c r="E852" s="215"/>
      <c r="F852" s="215">
        <f t="shared" si="54"/>
        <v>50000</v>
      </c>
      <c r="G852" s="215">
        <v>50000</v>
      </c>
      <c r="H852" s="215"/>
      <c r="I852" s="222"/>
      <c r="J852" s="222"/>
      <c r="K852" s="222"/>
      <c r="L852" s="222"/>
      <c r="M852" s="222"/>
      <c r="N852" s="222"/>
      <c r="O852" s="223">
        <f t="shared" si="57"/>
        <v>100</v>
      </c>
      <c r="P852" s="223">
        <f t="shared" si="57"/>
        <v>100</v>
      </c>
      <c r="Q852" s="222"/>
    </row>
    <row r="853" spans="1:17">
      <c r="A853" s="201"/>
      <c r="B853" s="186" t="s">
        <v>945</v>
      </c>
      <c r="C853" s="215">
        <v>95000</v>
      </c>
      <c r="D853" s="215">
        <v>95000</v>
      </c>
      <c r="E853" s="215"/>
      <c r="F853" s="215">
        <f>G853+L853</f>
        <v>93773.652325000003</v>
      </c>
      <c r="G853" s="215">
        <v>93773.652325000003</v>
      </c>
      <c r="H853" s="215"/>
      <c r="I853" s="222"/>
      <c r="J853" s="222"/>
      <c r="K853" s="222"/>
      <c r="L853" s="222"/>
      <c r="M853" s="222"/>
      <c r="N853" s="222"/>
      <c r="O853" s="223">
        <f t="shared" si="57"/>
        <v>98.709107710526325</v>
      </c>
      <c r="P853" s="223">
        <f t="shared" si="57"/>
        <v>98.709107710526325</v>
      </c>
      <c r="Q853" s="222"/>
    </row>
    <row r="854" spans="1:17" ht="25.5">
      <c r="A854" s="201"/>
      <c r="B854" s="186" t="s">
        <v>946</v>
      </c>
      <c r="C854" s="215">
        <v>68870</v>
      </c>
      <c r="D854" s="215">
        <v>68870</v>
      </c>
      <c r="E854" s="215"/>
      <c r="F854" s="215">
        <f t="shared" si="54"/>
        <v>68870</v>
      </c>
      <c r="G854" s="215">
        <v>68870</v>
      </c>
      <c r="H854" s="215"/>
      <c r="I854" s="222"/>
      <c r="J854" s="222"/>
      <c r="K854" s="222"/>
      <c r="L854" s="222"/>
      <c r="M854" s="222"/>
      <c r="N854" s="222"/>
      <c r="O854" s="223">
        <f t="shared" si="57"/>
        <v>100</v>
      </c>
      <c r="P854" s="223">
        <f t="shared" si="57"/>
        <v>100</v>
      </c>
      <c r="Q854" s="222"/>
    </row>
    <row r="855" spans="1:17" ht="25.5">
      <c r="A855" s="201"/>
      <c r="B855" s="186" t="s">
        <v>947</v>
      </c>
      <c r="C855" s="215">
        <v>3000</v>
      </c>
      <c r="D855" s="215">
        <v>3000</v>
      </c>
      <c r="E855" s="215"/>
      <c r="F855" s="215">
        <f t="shared" si="54"/>
        <v>3000</v>
      </c>
      <c r="G855" s="215">
        <v>3000</v>
      </c>
      <c r="H855" s="215"/>
      <c r="I855" s="222"/>
      <c r="J855" s="222"/>
      <c r="K855" s="222"/>
      <c r="L855" s="222"/>
      <c r="M855" s="222"/>
      <c r="N855" s="222"/>
      <c r="O855" s="223">
        <f t="shared" si="57"/>
        <v>100</v>
      </c>
      <c r="P855" s="223">
        <f t="shared" si="57"/>
        <v>100</v>
      </c>
      <c r="Q855" s="222"/>
    </row>
    <row r="856" spans="1:17">
      <c r="A856" s="201"/>
      <c r="B856" s="186" t="s">
        <v>948</v>
      </c>
      <c r="C856" s="215">
        <v>1000</v>
      </c>
      <c r="D856" s="215">
        <v>1000</v>
      </c>
      <c r="E856" s="215"/>
      <c r="F856" s="215">
        <f t="shared" si="54"/>
        <v>1000</v>
      </c>
      <c r="G856" s="215">
        <v>1000</v>
      </c>
      <c r="H856" s="215"/>
      <c r="I856" s="222"/>
      <c r="J856" s="222"/>
      <c r="K856" s="222"/>
      <c r="L856" s="222"/>
      <c r="M856" s="222"/>
      <c r="N856" s="222"/>
      <c r="O856" s="223">
        <f t="shared" si="57"/>
        <v>100</v>
      </c>
      <c r="P856" s="223">
        <f t="shared" si="57"/>
        <v>100</v>
      </c>
      <c r="Q856" s="222"/>
    </row>
    <row r="857" spans="1:17">
      <c r="A857" s="201"/>
      <c r="B857" s="186" t="s">
        <v>949</v>
      </c>
      <c r="C857" s="215">
        <v>1000</v>
      </c>
      <c r="D857" s="215">
        <v>1000</v>
      </c>
      <c r="E857" s="215"/>
      <c r="F857" s="215">
        <f t="shared" si="54"/>
        <v>1000</v>
      </c>
      <c r="G857" s="215">
        <v>1000</v>
      </c>
      <c r="H857" s="215"/>
      <c r="I857" s="222"/>
      <c r="J857" s="222"/>
      <c r="K857" s="222"/>
      <c r="L857" s="222"/>
      <c r="M857" s="222"/>
      <c r="N857" s="222"/>
      <c r="O857" s="223">
        <f t="shared" si="57"/>
        <v>100</v>
      </c>
      <c r="P857" s="223">
        <f t="shared" si="57"/>
        <v>100</v>
      </c>
      <c r="Q857" s="222"/>
    </row>
    <row r="858" spans="1:17" s="111" customFormat="1" ht="33.75" customHeight="1">
      <c r="A858" s="224" t="s">
        <v>9</v>
      </c>
      <c r="B858" s="225" t="s">
        <v>142</v>
      </c>
      <c r="C858" s="226">
        <v>3700</v>
      </c>
      <c r="D858" s="226"/>
      <c r="E858" s="226"/>
      <c r="F858" s="226">
        <v>2305</v>
      </c>
      <c r="G858" s="226"/>
      <c r="H858" s="226"/>
      <c r="I858" s="226">
        <v>2305</v>
      </c>
      <c r="J858" s="226"/>
      <c r="K858" s="226"/>
      <c r="L858" s="226"/>
      <c r="M858" s="226"/>
      <c r="N858" s="227"/>
      <c r="O858" s="226">
        <f>F858/C858*100</f>
        <v>62.297297297297291</v>
      </c>
      <c r="P858" s="226"/>
      <c r="Q858" s="226"/>
    </row>
    <row r="859" spans="1:17" s="111" customFormat="1" ht="33.75" customHeight="1">
      <c r="A859" s="115" t="s">
        <v>12</v>
      </c>
      <c r="B859" s="116" t="s">
        <v>143</v>
      </c>
      <c r="C859" s="113">
        <v>1300</v>
      </c>
      <c r="D859" s="113"/>
      <c r="E859" s="113"/>
      <c r="F859" s="181">
        <v>1300</v>
      </c>
      <c r="G859" s="181"/>
      <c r="H859" s="181"/>
      <c r="I859" s="181"/>
      <c r="J859" s="181">
        <v>1300</v>
      </c>
      <c r="K859" s="181"/>
      <c r="L859" s="181"/>
      <c r="M859" s="181"/>
      <c r="N859" s="216"/>
      <c r="O859" s="113">
        <f t="shared" ref="O859:O860" si="58">F859/C859*100</f>
        <v>100</v>
      </c>
      <c r="P859" s="113"/>
      <c r="Q859" s="113"/>
    </row>
    <row r="860" spans="1:17" s="4" customFormat="1" ht="33.75" customHeight="1">
      <c r="A860" s="115" t="s">
        <v>86</v>
      </c>
      <c r="B860" s="116" t="s">
        <v>148</v>
      </c>
      <c r="C860" s="113">
        <v>83962</v>
      </c>
      <c r="D860" s="113"/>
      <c r="E860" s="113"/>
      <c r="F860" s="181"/>
      <c r="G860" s="181"/>
      <c r="H860" s="181"/>
      <c r="I860" s="181"/>
      <c r="J860" s="181"/>
      <c r="K860" s="181"/>
      <c r="L860" s="181"/>
      <c r="M860" s="181"/>
      <c r="N860" s="18"/>
      <c r="O860" s="113">
        <f t="shared" si="58"/>
        <v>0</v>
      </c>
      <c r="P860" s="113"/>
      <c r="Q860" s="113"/>
    </row>
    <row r="861" spans="1:17" s="117" customFormat="1" ht="33.75" customHeight="1">
      <c r="A861" s="115" t="s">
        <v>110</v>
      </c>
      <c r="B861" s="116" t="s">
        <v>149</v>
      </c>
      <c r="C861" s="113"/>
      <c r="D861" s="113"/>
      <c r="E861" s="113"/>
      <c r="F861" s="181"/>
      <c r="G861" s="181"/>
      <c r="H861" s="181"/>
      <c r="I861" s="181"/>
      <c r="J861" s="181"/>
      <c r="K861" s="181"/>
      <c r="L861" s="181"/>
      <c r="M861" s="181"/>
      <c r="N861" s="218"/>
      <c r="O861" s="113"/>
      <c r="P861" s="113"/>
      <c r="Q861" s="113"/>
    </row>
    <row r="862" spans="1:17" s="4" customFormat="1" ht="33.75" customHeight="1">
      <c r="A862" s="115" t="s">
        <v>111</v>
      </c>
      <c r="B862" s="116" t="s">
        <v>150</v>
      </c>
      <c r="C862" s="113"/>
      <c r="D862" s="113"/>
      <c r="E862" s="113"/>
      <c r="F862" s="181"/>
      <c r="G862" s="181"/>
      <c r="H862" s="181"/>
      <c r="I862" s="181"/>
      <c r="J862" s="181"/>
      <c r="K862" s="181"/>
      <c r="L862" s="181"/>
      <c r="M862" s="181"/>
      <c r="N862" s="18"/>
      <c r="O862" s="113"/>
      <c r="P862" s="113"/>
      <c r="Q862" s="113"/>
    </row>
    <row r="863" spans="1:17" s="4" customFormat="1" ht="33.75" customHeight="1">
      <c r="A863" s="118" t="s">
        <v>151</v>
      </c>
      <c r="B863" s="119" t="s">
        <v>145</v>
      </c>
      <c r="C863" s="228"/>
      <c r="D863" s="228"/>
      <c r="E863" s="228"/>
      <c r="F863" s="229">
        <v>1473916</v>
      </c>
      <c r="G863" s="229"/>
      <c r="H863" s="229"/>
      <c r="I863" s="229"/>
      <c r="J863" s="229"/>
      <c r="K863" s="229"/>
      <c r="L863" s="229"/>
      <c r="M863" s="229"/>
      <c r="N863" s="229">
        <v>1473916</v>
      </c>
      <c r="O863" s="228"/>
      <c r="P863" s="228"/>
      <c r="Q863" s="228"/>
    </row>
  </sheetData>
  <mergeCells count="21">
    <mergeCell ref="A1:B1"/>
    <mergeCell ref="A2:Q2"/>
    <mergeCell ref="A3:Q3"/>
    <mergeCell ref="A5:A7"/>
    <mergeCell ref="B5:B7"/>
    <mergeCell ref="C5:E5"/>
    <mergeCell ref="F5:N5"/>
    <mergeCell ref="O5:Q5"/>
    <mergeCell ref="C6:C7"/>
    <mergeCell ref="D6:D7"/>
    <mergeCell ref="E6:E7"/>
    <mergeCell ref="F6:F7"/>
    <mergeCell ref="O6:O7"/>
    <mergeCell ref="P6:P7"/>
    <mergeCell ref="Q6:Q7"/>
    <mergeCell ref="G6:G7"/>
    <mergeCell ref="H6:H7"/>
    <mergeCell ref="I6:I7"/>
    <mergeCell ref="J6:J7"/>
    <mergeCell ref="K6:M6"/>
    <mergeCell ref="N6:N7"/>
  </mergeCells>
  <printOptions horizontalCentered="1" verticalCentered="1"/>
  <pageMargins left="0.63" right="0.15748031496063" top="0.39370078740157499" bottom="0.47244094488188998" header="0.31496062992126" footer="0.31496062992126"/>
  <pageSetup paperSize="9" scale="7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A4" sqref="A4"/>
    </sheetView>
  </sheetViews>
  <sheetFormatPr defaultColWidth="12.85546875" defaultRowHeight="15.75"/>
  <cols>
    <col min="1" max="1" width="7.28515625" style="4" customWidth="1"/>
    <col min="2" max="2" width="21.42578125" style="4" customWidth="1"/>
    <col min="3" max="5" width="11.42578125" style="4" customWidth="1"/>
    <col min="6" max="8" width="12.42578125" style="4" customWidth="1"/>
    <col min="9" max="11" width="12" style="4" customWidth="1"/>
    <col min="12" max="20" width="12.42578125" style="4" customWidth="1"/>
    <col min="21" max="16384" width="12.85546875" style="4"/>
  </cols>
  <sheetData>
    <row r="1" spans="1:24" ht="21" customHeight="1">
      <c r="A1" s="1" t="s">
        <v>185</v>
      </c>
      <c r="B1" s="1"/>
      <c r="C1" s="1"/>
      <c r="D1" s="120"/>
      <c r="E1" s="120"/>
      <c r="F1" s="21"/>
      <c r="G1" s="21"/>
      <c r="H1" s="3"/>
      <c r="I1" s="3"/>
      <c r="J1" s="3"/>
      <c r="K1" s="3"/>
      <c r="L1" s="21"/>
      <c r="M1" s="21"/>
      <c r="N1" s="3"/>
      <c r="O1" s="3"/>
      <c r="P1" s="21"/>
      <c r="Q1" s="21"/>
      <c r="R1" s="274" t="s">
        <v>152</v>
      </c>
      <c r="S1" s="274"/>
      <c r="T1" s="274"/>
      <c r="U1" s="1"/>
      <c r="V1" s="1"/>
      <c r="W1" s="1"/>
    </row>
    <row r="2" spans="1:24" ht="34.9" customHeight="1">
      <c r="A2" s="2" t="s">
        <v>950</v>
      </c>
      <c r="B2" s="21"/>
      <c r="C2" s="22"/>
      <c r="D2" s="22"/>
      <c r="E2" s="22"/>
      <c r="F2" s="22"/>
      <c r="G2" s="22"/>
      <c r="H2" s="22"/>
      <c r="I2" s="22"/>
      <c r="J2" s="22"/>
      <c r="K2" s="22"/>
      <c r="L2" s="22"/>
      <c r="M2" s="22"/>
      <c r="N2" s="22"/>
      <c r="O2" s="22"/>
      <c r="P2" s="22"/>
      <c r="Q2" s="22"/>
      <c r="R2" s="22"/>
      <c r="S2" s="22"/>
      <c r="T2" s="22"/>
    </row>
    <row r="3" spans="1:24" ht="17.45" customHeight="1">
      <c r="A3" s="276" t="str">
        <f>'66'!A3:Q3</f>
        <v>(Quyết toán đã được Hội đồng nhân dân phê duyệt)</v>
      </c>
      <c r="B3" s="276"/>
      <c r="C3" s="276"/>
      <c r="D3" s="276"/>
      <c r="E3" s="276"/>
      <c r="F3" s="276"/>
      <c r="G3" s="276"/>
      <c r="H3" s="276"/>
      <c r="I3" s="276"/>
      <c r="J3" s="276"/>
      <c r="K3" s="276"/>
      <c r="L3" s="276"/>
      <c r="M3" s="276"/>
      <c r="N3" s="276"/>
      <c r="O3" s="276"/>
      <c r="P3" s="276"/>
      <c r="Q3" s="276"/>
      <c r="R3" s="276"/>
      <c r="S3" s="276"/>
      <c r="T3" s="276"/>
      <c r="U3" s="27"/>
      <c r="V3" s="27"/>
      <c r="W3" s="27"/>
      <c r="X3" s="27"/>
    </row>
    <row r="4" spans="1:24" ht="28.15" customHeight="1">
      <c r="A4" s="146"/>
      <c r="B4" s="146"/>
      <c r="C4" s="6"/>
      <c r="D4" s="6"/>
      <c r="E4" s="6"/>
      <c r="F4" s="310"/>
      <c r="G4" s="310"/>
      <c r="H4" s="310"/>
      <c r="I4" s="6"/>
      <c r="J4" s="6"/>
      <c r="K4" s="6"/>
      <c r="L4" s="310"/>
      <c r="M4" s="310"/>
      <c r="N4" s="310"/>
      <c r="O4" s="6"/>
      <c r="P4" s="311" t="s">
        <v>0</v>
      </c>
      <c r="Q4" s="311"/>
      <c r="R4" s="311"/>
      <c r="S4" s="311"/>
      <c r="T4" s="311"/>
    </row>
    <row r="5" spans="1:24" s="59" customFormat="1" ht="25.5" customHeight="1">
      <c r="A5" s="312" t="s">
        <v>1</v>
      </c>
      <c r="B5" s="312" t="s">
        <v>153</v>
      </c>
      <c r="C5" s="314" t="s">
        <v>154</v>
      </c>
      <c r="D5" s="314"/>
      <c r="E5" s="314"/>
      <c r="F5" s="314"/>
      <c r="G5" s="314"/>
      <c r="H5" s="314"/>
      <c r="I5" s="314" t="s">
        <v>155</v>
      </c>
      <c r="J5" s="314"/>
      <c r="K5" s="314"/>
      <c r="L5" s="314"/>
      <c r="M5" s="314"/>
      <c r="N5" s="314"/>
      <c r="O5" s="315" t="s">
        <v>156</v>
      </c>
      <c r="P5" s="316"/>
      <c r="Q5" s="316"/>
      <c r="R5" s="316"/>
      <c r="S5" s="316"/>
      <c r="T5" s="317"/>
    </row>
    <row r="6" spans="1:24" s="59" customFormat="1" ht="25.5" customHeight="1">
      <c r="A6" s="313"/>
      <c r="B6" s="313"/>
      <c r="C6" s="312" t="s">
        <v>157</v>
      </c>
      <c r="D6" s="312" t="s">
        <v>158</v>
      </c>
      <c r="E6" s="315" t="s">
        <v>159</v>
      </c>
      <c r="F6" s="316"/>
      <c r="G6" s="316"/>
      <c r="H6" s="317"/>
      <c r="I6" s="312" t="s">
        <v>157</v>
      </c>
      <c r="J6" s="312" t="s">
        <v>158</v>
      </c>
      <c r="K6" s="315" t="s">
        <v>159</v>
      </c>
      <c r="L6" s="316"/>
      <c r="M6" s="316"/>
      <c r="N6" s="317"/>
      <c r="O6" s="312" t="s">
        <v>157</v>
      </c>
      <c r="P6" s="312" t="s">
        <v>158</v>
      </c>
      <c r="Q6" s="315" t="s">
        <v>159</v>
      </c>
      <c r="R6" s="316"/>
      <c r="S6" s="316"/>
      <c r="T6" s="317"/>
    </row>
    <row r="7" spans="1:24" s="59" customFormat="1" ht="99.75" customHeight="1">
      <c r="A7" s="313"/>
      <c r="B7" s="313"/>
      <c r="C7" s="313"/>
      <c r="D7" s="313"/>
      <c r="E7" s="145" t="s">
        <v>157</v>
      </c>
      <c r="F7" s="133" t="s">
        <v>160</v>
      </c>
      <c r="G7" s="133" t="s">
        <v>161</v>
      </c>
      <c r="H7" s="133" t="s">
        <v>162</v>
      </c>
      <c r="I7" s="313"/>
      <c r="J7" s="313"/>
      <c r="K7" s="145" t="s">
        <v>157</v>
      </c>
      <c r="L7" s="133" t="s">
        <v>160</v>
      </c>
      <c r="M7" s="133" t="s">
        <v>161</v>
      </c>
      <c r="N7" s="133" t="s">
        <v>162</v>
      </c>
      <c r="O7" s="313"/>
      <c r="P7" s="313"/>
      <c r="Q7" s="145" t="s">
        <v>157</v>
      </c>
      <c r="R7" s="133" t="s">
        <v>160</v>
      </c>
      <c r="S7" s="133" t="s">
        <v>161</v>
      </c>
      <c r="T7" s="133" t="s">
        <v>162</v>
      </c>
    </row>
    <row r="8" spans="1:24" s="6" customFormat="1" ht="23.45" customHeight="1">
      <c r="A8" s="7"/>
      <c r="B8" s="60" t="s">
        <v>138</v>
      </c>
      <c r="C8" s="61">
        <v>5341599</v>
      </c>
      <c r="D8" s="61">
        <v>3910795</v>
      </c>
      <c r="E8" s="61">
        <v>1430804</v>
      </c>
      <c r="F8" s="61">
        <v>173000</v>
      </c>
      <c r="G8" s="61">
        <v>1247634</v>
      </c>
      <c r="H8" s="61">
        <v>10170</v>
      </c>
      <c r="I8" s="61">
        <v>5312410.0959999999</v>
      </c>
      <c r="J8" s="61">
        <v>3878304</v>
      </c>
      <c r="K8" s="61">
        <v>1434106.0960000001</v>
      </c>
      <c r="L8" s="61">
        <v>168871</v>
      </c>
      <c r="M8" s="61">
        <v>1247634</v>
      </c>
      <c r="N8" s="61">
        <v>17601.096000000001</v>
      </c>
      <c r="O8" s="61">
        <f>I8/C8*100</f>
        <v>99.453554937388603</v>
      </c>
      <c r="P8" s="61">
        <f t="shared" ref="P8:T18" si="0">J8/D8*100</f>
        <v>99.169197055841579</v>
      </c>
      <c r="Q8" s="61">
        <f t="shared" si="0"/>
        <v>100.23078604756488</v>
      </c>
      <c r="R8" s="61">
        <f t="shared" si="0"/>
        <v>97.613294797687871</v>
      </c>
      <c r="S8" s="61">
        <f t="shared" si="0"/>
        <v>100</v>
      </c>
      <c r="T8" s="61">
        <f t="shared" si="0"/>
        <v>173.068790560472</v>
      </c>
    </row>
    <row r="9" spans="1:24" s="6" customFormat="1" ht="23.45" customHeight="1">
      <c r="A9" s="9">
        <v>1</v>
      </c>
      <c r="B9" s="235" t="s">
        <v>168</v>
      </c>
      <c r="C9" s="121">
        <v>463723</v>
      </c>
      <c r="D9" s="121">
        <v>356681</v>
      </c>
      <c r="E9" s="121">
        <v>107042</v>
      </c>
      <c r="F9" s="121">
        <v>15900</v>
      </c>
      <c r="G9" s="121">
        <v>89941</v>
      </c>
      <c r="H9" s="121">
        <v>1201</v>
      </c>
      <c r="I9" s="121">
        <v>460474</v>
      </c>
      <c r="J9" s="121">
        <v>353440</v>
      </c>
      <c r="K9" s="121">
        <v>107034</v>
      </c>
      <c r="L9" s="121">
        <v>15898</v>
      </c>
      <c r="M9" s="121">
        <v>89941</v>
      </c>
      <c r="N9" s="121">
        <v>1195</v>
      </c>
      <c r="O9" s="121">
        <f t="shared" ref="O9:O18" si="1">I9/C9*100</f>
        <v>99.299366216469735</v>
      </c>
      <c r="P9" s="121">
        <f t="shared" si="0"/>
        <v>99.091344927259925</v>
      </c>
      <c r="Q9" s="121">
        <f t="shared" si="0"/>
        <v>99.992526298088606</v>
      </c>
      <c r="R9" s="121">
        <f t="shared" si="0"/>
        <v>99.987421383647799</v>
      </c>
      <c r="S9" s="121">
        <f t="shared" si="0"/>
        <v>100</v>
      </c>
      <c r="T9" s="121">
        <f t="shared" si="0"/>
        <v>99.50041631973356</v>
      </c>
    </row>
    <row r="10" spans="1:24" s="6" customFormat="1" ht="23.45" customHeight="1">
      <c r="A10" s="9">
        <v>2</v>
      </c>
      <c r="B10" s="235" t="s">
        <v>169</v>
      </c>
      <c r="C10" s="121">
        <v>371541</v>
      </c>
      <c r="D10" s="121">
        <v>264501</v>
      </c>
      <c r="E10" s="121">
        <v>107040</v>
      </c>
      <c r="F10" s="121">
        <v>12900</v>
      </c>
      <c r="G10" s="121">
        <v>92672</v>
      </c>
      <c r="H10" s="121">
        <v>1468</v>
      </c>
      <c r="I10" s="121">
        <v>369879</v>
      </c>
      <c r="J10" s="121">
        <v>262464</v>
      </c>
      <c r="K10" s="121">
        <v>107415</v>
      </c>
      <c r="L10" s="121">
        <v>11522</v>
      </c>
      <c r="M10" s="121">
        <v>92672</v>
      </c>
      <c r="N10" s="121">
        <v>3221</v>
      </c>
      <c r="O10" s="121">
        <f t="shared" si="1"/>
        <v>99.552673863718937</v>
      </c>
      <c r="P10" s="121">
        <f t="shared" si="0"/>
        <v>99.229870586500624</v>
      </c>
      <c r="Q10" s="121">
        <f t="shared" si="0"/>
        <v>100.35033632286996</v>
      </c>
      <c r="R10" s="121">
        <f t="shared" si="0"/>
        <v>89.31782945736434</v>
      </c>
      <c r="S10" s="121">
        <f t="shared" si="0"/>
        <v>100</v>
      </c>
      <c r="T10" s="121">
        <f>N10/H10*100</f>
        <v>219.41416893732969</v>
      </c>
    </row>
    <row r="11" spans="1:24" s="6" customFormat="1" ht="23.45" customHeight="1">
      <c r="A11" s="9">
        <v>3</v>
      </c>
      <c r="B11" s="235" t="s">
        <v>951</v>
      </c>
      <c r="C11" s="121">
        <v>403532</v>
      </c>
      <c r="D11" s="121">
        <v>322492</v>
      </c>
      <c r="E11" s="121">
        <v>81040</v>
      </c>
      <c r="F11" s="121">
        <v>12900</v>
      </c>
      <c r="G11" s="121">
        <v>66705</v>
      </c>
      <c r="H11" s="121">
        <v>1435</v>
      </c>
      <c r="I11" s="121">
        <v>400733</v>
      </c>
      <c r="J11" s="121">
        <v>319987</v>
      </c>
      <c r="K11" s="121">
        <v>80746</v>
      </c>
      <c r="L11" s="121">
        <v>12603</v>
      </c>
      <c r="M11" s="121">
        <v>66705</v>
      </c>
      <c r="N11" s="121">
        <v>1438</v>
      </c>
      <c r="O11" s="121">
        <f t="shared" si="1"/>
        <v>99.306374711299227</v>
      </c>
      <c r="P11" s="121">
        <f t="shared" si="0"/>
        <v>99.223236545402685</v>
      </c>
      <c r="Q11" s="121">
        <f t="shared" si="0"/>
        <v>99.637216189536019</v>
      </c>
      <c r="R11" s="121">
        <f t="shared" si="0"/>
        <v>97.697674418604649</v>
      </c>
      <c r="S11" s="121">
        <f t="shared" si="0"/>
        <v>100</v>
      </c>
      <c r="T11" s="121">
        <f t="shared" si="0"/>
        <v>100.20905923344947</v>
      </c>
    </row>
    <row r="12" spans="1:24" s="6" customFormat="1" ht="23.45" customHeight="1">
      <c r="A12" s="9">
        <v>4</v>
      </c>
      <c r="B12" s="235" t="s">
        <v>952</v>
      </c>
      <c r="C12" s="121">
        <v>562161</v>
      </c>
      <c r="D12" s="121">
        <v>412847</v>
      </c>
      <c r="E12" s="121">
        <v>149314</v>
      </c>
      <c r="F12" s="121">
        <v>19000</v>
      </c>
      <c r="G12" s="121">
        <v>129779</v>
      </c>
      <c r="H12" s="121">
        <v>535</v>
      </c>
      <c r="I12" s="121">
        <v>559114</v>
      </c>
      <c r="J12" s="121">
        <v>409801</v>
      </c>
      <c r="K12" s="121">
        <v>149313</v>
      </c>
      <c r="L12" s="121">
        <v>19000</v>
      </c>
      <c r="M12" s="121">
        <v>129779</v>
      </c>
      <c r="N12" s="121">
        <v>534</v>
      </c>
      <c r="O12" s="121">
        <f t="shared" si="1"/>
        <v>99.457984456410173</v>
      </c>
      <c r="P12" s="121">
        <f t="shared" si="0"/>
        <v>99.262196406901353</v>
      </c>
      <c r="Q12" s="121">
        <f t="shared" si="0"/>
        <v>99.999330270436786</v>
      </c>
      <c r="R12" s="121">
        <f t="shared" si="0"/>
        <v>100</v>
      </c>
      <c r="S12" s="121">
        <f t="shared" si="0"/>
        <v>100</v>
      </c>
      <c r="T12" s="121">
        <f t="shared" si="0"/>
        <v>99.813084112149525</v>
      </c>
    </row>
    <row r="13" spans="1:24" s="6" customFormat="1" ht="23.45" customHeight="1">
      <c r="A13" s="9">
        <v>5</v>
      </c>
      <c r="B13" s="235" t="s">
        <v>165</v>
      </c>
      <c r="C13" s="121">
        <v>773241</v>
      </c>
      <c r="D13" s="121">
        <v>588641</v>
      </c>
      <c r="E13" s="121">
        <v>184600</v>
      </c>
      <c r="F13" s="121">
        <v>21300</v>
      </c>
      <c r="G13" s="121">
        <v>162046</v>
      </c>
      <c r="H13" s="121">
        <v>1254</v>
      </c>
      <c r="I13" s="121">
        <v>769404</v>
      </c>
      <c r="J13" s="121">
        <v>585088</v>
      </c>
      <c r="K13" s="121">
        <v>184316</v>
      </c>
      <c r="L13" s="121">
        <v>21135</v>
      </c>
      <c r="M13" s="121">
        <v>162046</v>
      </c>
      <c r="N13" s="121">
        <v>1135</v>
      </c>
      <c r="O13" s="121">
        <f t="shared" si="1"/>
        <v>99.503776959576641</v>
      </c>
      <c r="P13" s="121">
        <f t="shared" si="0"/>
        <v>99.396406298575869</v>
      </c>
      <c r="Q13" s="121">
        <f t="shared" si="0"/>
        <v>99.846153846153854</v>
      </c>
      <c r="R13" s="121">
        <f t="shared" si="0"/>
        <v>99.225352112676063</v>
      </c>
      <c r="S13" s="121">
        <f t="shared" si="0"/>
        <v>100</v>
      </c>
      <c r="T13" s="121">
        <f t="shared" si="0"/>
        <v>90.5103668261563</v>
      </c>
    </row>
    <row r="14" spans="1:24" s="6" customFormat="1" ht="23.45" customHeight="1">
      <c r="A14" s="9">
        <v>6</v>
      </c>
      <c r="B14" s="235" t="s">
        <v>953</v>
      </c>
      <c r="C14" s="121">
        <v>614517</v>
      </c>
      <c r="D14" s="121">
        <v>436113</v>
      </c>
      <c r="E14" s="121">
        <v>178404</v>
      </c>
      <c r="F14" s="121">
        <v>16800</v>
      </c>
      <c r="G14" s="121">
        <v>160383</v>
      </c>
      <c r="H14" s="121">
        <v>1221</v>
      </c>
      <c r="I14" s="121">
        <v>610980</v>
      </c>
      <c r="J14" s="121">
        <v>432993</v>
      </c>
      <c r="K14" s="121">
        <v>177987</v>
      </c>
      <c r="L14" s="121">
        <v>16146</v>
      </c>
      <c r="M14" s="121">
        <v>160383</v>
      </c>
      <c r="N14" s="121">
        <v>1458</v>
      </c>
      <c r="O14" s="121">
        <f t="shared" si="1"/>
        <v>99.424426012624551</v>
      </c>
      <c r="P14" s="121">
        <f t="shared" si="0"/>
        <v>99.284589085856183</v>
      </c>
      <c r="Q14" s="121">
        <f t="shared" si="0"/>
        <v>99.766260846169359</v>
      </c>
      <c r="R14" s="121">
        <f t="shared" si="0"/>
        <v>96.107142857142861</v>
      </c>
      <c r="S14" s="121">
        <f t="shared" si="0"/>
        <v>100</v>
      </c>
      <c r="T14" s="121">
        <f t="shared" si="0"/>
        <v>119.4103194103194</v>
      </c>
    </row>
    <row r="15" spans="1:24" s="6" customFormat="1" ht="23.45" customHeight="1">
      <c r="A15" s="9">
        <v>7</v>
      </c>
      <c r="B15" s="235" t="s">
        <v>164</v>
      </c>
      <c r="C15" s="121">
        <v>696841</v>
      </c>
      <c r="D15" s="121">
        <v>494667</v>
      </c>
      <c r="E15" s="121">
        <v>202174</v>
      </c>
      <c r="F15" s="121">
        <v>19200</v>
      </c>
      <c r="G15" s="121">
        <v>182426</v>
      </c>
      <c r="H15" s="121">
        <v>548</v>
      </c>
      <c r="I15" s="121">
        <v>696244.79599999997</v>
      </c>
      <c r="J15" s="121">
        <v>491367</v>
      </c>
      <c r="K15" s="121">
        <v>204877.796</v>
      </c>
      <c r="L15" s="121">
        <v>18625</v>
      </c>
      <c r="M15" s="121">
        <v>182426</v>
      </c>
      <c r="N15" s="121">
        <v>3826.7960000000003</v>
      </c>
      <c r="O15" s="121">
        <f t="shared" si="1"/>
        <v>99.91444188846522</v>
      </c>
      <c r="P15" s="121">
        <f t="shared" si="0"/>
        <v>99.332884546573752</v>
      </c>
      <c r="Q15" s="121">
        <f t="shared" si="0"/>
        <v>101.33736088715662</v>
      </c>
      <c r="R15" s="121">
        <f t="shared" si="0"/>
        <v>97.005208333333343</v>
      </c>
      <c r="S15" s="121">
        <f t="shared" si="0"/>
        <v>100</v>
      </c>
      <c r="T15" s="121">
        <f>N15/H15*100</f>
        <v>698.3204379562045</v>
      </c>
    </row>
    <row r="16" spans="1:24" s="6" customFormat="1" ht="23.45" customHeight="1">
      <c r="A16" s="9">
        <v>8</v>
      </c>
      <c r="B16" s="235" t="s">
        <v>166</v>
      </c>
      <c r="C16" s="121">
        <v>454699</v>
      </c>
      <c r="D16" s="121">
        <v>313406</v>
      </c>
      <c r="E16" s="121">
        <v>141293</v>
      </c>
      <c r="F16" s="121">
        <v>17300</v>
      </c>
      <c r="G16" s="121">
        <v>123227</v>
      </c>
      <c r="H16" s="121">
        <v>766</v>
      </c>
      <c r="I16" s="121">
        <v>450029</v>
      </c>
      <c r="J16" s="121">
        <v>309765</v>
      </c>
      <c r="K16" s="121">
        <v>140264</v>
      </c>
      <c r="L16" s="121">
        <v>16302</v>
      </c>
      <c r="M16" s="121">
        <v>123227</v>
      </c>
      <c r="N16" s="121">
        <v>735</v>
      </c>
      <c r="O16" s="121">
        <f t="shared" si="1"/>
        <v>98.97294693852416</v>
      </c>
      <c r="P16" s="121">
        <f t="shared" si="0"/>
        <v>98.838248150960737</v>
      </c>
      <c r="Q16" s="121">
        <f t="shared" si="0"/>
        <v>99.2717261293907</v>
      </c>
      <c r="R16" s="121">
        <f t="shared" si="0"/>
        <v>94.23121387283237</v>
      </c>
      <c r="S16" s="121">
        <f t="shared" si="0"/>
        <v>100</v>
      </c>
      <c r="T16" s="121">
        <f t="shared" si="0"/>
        <v>95.953002610966053</v>
      </c>
    </row>
    <row r="17" spans="1:20" s="6" customFormat="1" ht="23.45" customHeight="1">
      <c r="A17" s="9">
        <v>9</v>
      </c>
      <c r="B17" s="236" t="s">
        <v>167</v>
      </c>
      <c r="C17" s="121">
        <v>419020</v>
      </c>
      <c r="D17" s="121">
        <v>356722</v>
      </c>
      <c r="E17" s="121">
        <v>62298</v>
      </c>
      <c r="F17" s="121">
        <v>16900</v>
      </c>
      <c r="G17" s="121">
        <v>44824</v>
      </c>
      <c r="H17" s="121">
        <v>574</v>
      </c>
      <c r="I17" s="121">
        <v>419345.3</v>
      </c>
      <c r="J17" s="121">
        <v>354031</v>
      </c>
      <c r="K17" s="121">
        <v>65314.3</v>
      </c>
      <c r="L17" s="121">
        <v>16900</v>
      </c>
      <c r="M17" s="121">
        <v>44824</v>
      </c>
      <c r="N17" s="121">
        <v>3590.3</v>
      </c>
      <c r="O17" s="121">
        <f t="shared" si="1"/>
        <v>100.07763352584603</v>
      </c>
      <c r="P17" s="121">
        <f t="shared" si="0"/>
        <v>99.24563105163125</v>
      </c>
      <c r="Q17" s="121">
        <f t="shared" si="0"/>
        <v>104.84172846640342</v>
      </c>
      <c r="R17" s="121">
        <f t="shared" si="0"/>
        <v>100</v>
      </c>
      <c r="S17" s="121">
        <f t="shared" si="0"/>
        <v>100</v>
      </c>
      <c r="T17" s="121">
        <f t="shared" si="0"/>
        <v>625.48780487804879</v>
      </c>
    </row>
    <row r="18" spans="1:20" s="6" customFormat="1" ht="23.45" customHeight="1">
      <c r="A18" s="232">
        <v>10</v>
      </c>
      <c r="B18" s="237" t="s">
        <v>163</v>
      </c>
      <c r="C18" s="234">
        <v>582324</v>
      </c>
      <c r="D18" s="234">
        <v>364725</v>
      </c>
      <c r="E18" s="234">
        <v>217599</v>
      </c>
      <c r="F18" s="234">
        <v>20800</v>
      </c>
      <c r="G18" s="234">
        <v>195631</v>
      </c>
      <c r="H18" s="234">
        <v>1168</v>
      </c>
      <c r="I18" s="234">
        <v>576207</v>
      </c>
      <c r="J18" s="234">
        <v>359368</v>
      </c>
      <c r="K18" s="234">
        <v>216839</v>
      </c>
      <c r="L18" s="234">
        <v>20740</v>
      </c>
      <c r="M18" s="234">
        <v>195631</v>
      </c>
      <c r="N18" s="234">
        <v>468</v>
      </c>
      <c r="O18" s="234">
        <f t="shared" si="1"/>
        <v>98.949553856615907</v>
      </c>
      <c r="P18" s="234">
        <f t="shared" si="0"/>
        <v>98.531222153677433</v>
      </c>
      <c r="Q18" s="234">
        <f t="shared" si="0"/>
        <v>99.650733689033501</v>
      </c>
      <c r="R18" s="234">
        <f t="shared" si="0"/>
        <v>99.711538461538467</v>
      </c>
      <c r="S18" s="234">
        <f t="shared" si="0"/>
        <v>100</v>
      </c>
      <c r="T18" s="234">
        <f t="shared" si="0"/>
        <v>40.06849315068493</v>
      </c>
    </row>
    <row r="19" spans="1:20" ht="19.5" customHeight="1">
      <c r="A19" s="15"/>
      <c r="B19" s="28"/>
      <c r="C19" s="6"/>
      <c r="D19" s="6"/>
      <c r="E19" s="6"/>
      <c r="F19" s="6"/>
      <c r="G19" s="6"/>
      <c r="H19" s="6"/>
      <c r="I19" s="6"/>
      <c r="J19" s="6"/>
      <c r="K19" s="6"/>
      <c r="L19" s="6"/>
      <c r="M19" s="6"/>
      <c r="N19" s="6"/>
      <c r="O19" s="6"/>
      <c r="P19" s="6"/>
      <c r="Q19" s="6"/>
      <c r="R19" s="6"/>
      <c r="S19" s="6"/>
      <c r="T19" s="6"/>
    </row>
    <row r="20" spans="1:20" ht="18.75">
      <c r="A20" s="15"/>
      <c r="B20" s="146"/>
      <c r="C20" s="6"/>
      <c r="D20" s="6"/>
      <c r="E20" s="6"/>
      <c r="F20" s="6"/>
      <c r="G20" s="6"/>
      <c r="H20" s="6"/>
      <c r="I20" s="6"/>
      <c r="J20" s="6"/>
      <c r="K20" s="6"/>
      <c r="L20" s="6"/>
      <c r="M20" s="6"/>
      <c r="N20" s="6"/>
      <c r="O20" s="6"/>
      <c r="P20" s="6"/>
      <c r="Q20" s="6"/>
      <c r="R20" s="6"/>
      <c r="S20" s="6"/>
      <c r="T20" s="6"/>
    </row>
    <row r="21" spans="1:20" ht="18.75">
      <c r="A21" s="6"/>
      <c r="B21" s="6"/>
      <c r="C21" s="6"/>
      <c r="D21" s="6"/>
      <c r="E21" s="6"/>
      <c r="F21" s="6"/>
      <c r="G21" s="6"/>
      <c r="H21" s="6"/>
      <c r="I21" s="6"/>
      <c r="J21" s="6"/>
      <c r="K21" s="6"/>
      <c r="L21" s="6"/>
      <c r="M21" s="6"/>
      <c r="N21" s="6"/>
      <c r="O21" s="6"/>
      <c r="P21" s="6"/>
      <c r="Q21" s="6"/>
      <c r="R21" s="6"/>
      <c r="S21" s="6"/>
      <c r="T21" s="6"/>
    </row>
    <row r="22" spans="1:20" ht="18.75">
      <c r="A22" s="6"/>
      <c r="B22" s="6"/>
      <c r="C22" s="6"/>
      <c r="D22" s="6"/>
      <c r="E22" s="6"/>
      <c r="F22" s="6"/>
      <c r="G22" s="6"/>
      <c r="H22" s="6"/>
      <c r="I22" s="6"/>
      <c r="J22" s="6"/>
      <c r="K22" s="6"/>
      <c r="L22" s="6"/>
      <c r="M22" s="6"/>
      <c r="N22" s="6"/>
      <c r="O22" s="6"/>
      <c r="P22" s="6"/>
      <c r="Q22" s="6"/>
      <c r="R22" s="6"/>
      <c r="S22" s="6"/>
      <c r="T22" s="6"/>
    </row>
    <row r="23" spans="1:20" ht="18.75">
      <c r="A23" s="6"/>
      <c r="B23" s="6"/>
      <c r="C23" s="6"/>
      <c r="D23" s="6"/>
      <c r="E23" s="6"/>
      <c r="F23" s="6"/>
      <c r="G23" s="6"/>
      <c r="H23" s="6"/>
      <c r="I23" s="6"/>
      <c r="J23" s="6"/>
      <c r="K23" s="6"/>
      <c r="L23" s="6"/>
      <c r="M23" s="6"/>
      <c r="N23" s="6"/>
      <c r="O23" s="6"/>
      <c r="P23" s="6"/>
      <c r="Q23" s="6"/>
      <c r="R23" s="6"/>
      <c r="S23" s="6"/>
      <c r="T23" s="6"/>
    </row>
    <row r="24" spans="1:20" ht="18.75">
      <c r="A24" s="6"/>
      <c r="B24" s="6"/>
      <c r="C24" s="6"/>
      <c r="D24" s="6"/>
      <c r="E24" s="6"/>
      <c r="F24" s="6"/>
      <c r="G24" s="6"/>
      <c r="H24" s="6"/>
      <c r="I24" s="6"/>
      <c r="J24" s="6"/>
      <c r="K24" s="6"/>
      <c r="L24" s="6"/>
      <c r="M24" s="6"/>
      <c r="N24" s="6"/>
      <c r="O24" s="6"/>
      <c r="P24" s="6"/>
      <c r="Q24" s="6"/>
      <c r="R24" s="6"/>
      <c r="S24" s="6"/>
      <c r="T24" s="6"/>
    </row>
    <row r="25" spans="1:20" ht="18.75">
      <c r="A25" s="6"/>
      <c r="B25" s="6"/>
      <c r="C25" s="6"/>
      <c r="D25" s="6"/>
      <c r="E25" s="6"/>
      <c r="F25" s="6"/>
      <c r="G25" s="6"/>
      <c r="H25" s="6"/>
      <c r="I25" s="6"/>
      <c r="J25" s="6"/>
      <c r="K25" s="6"/>
      <c r="L25" s="6"/>
      <c r="M25" s="6"/>
      <c r="N25" s="6"/>
      <c r="O25" s="6"/>
      <c r="P25" s="6"/>
      <c r="Q25" s="6"/>
      <c r="R25" s="6"/>
      <c r="S25" s="6"/>
      <c r="T25" s="6"/>
    </row>
    <row r="26" spans="1:20" ht="18.75">
      <c r="A26" s="6"/>
      <c r="B26" s="6"/>
      <c r="C26" s="6"/>
      <c r="D26" s="6"/>
      <c r="E26" s="6"/>
      <c r="F26" s="6"/>
      <c r="G26" s="6"/>
      <c r="H26" s="6"/>
      <c r="I26" s="6"/>
      <c r="J26" s="6"/>
      <c r="K26" s="6"/>
      <c r="L26" s="6"/>
      <c r="M26" s="6"/>
      <c r="N26" s="6"/>
      <c r="O26" s="6"/>
      <c r="P26" s="6"/>
      <c r="Q26" s="6"/>
      <c r="R26" s="6"/>
      <c r="S26" s="6"/>
      <c r="T26" s="6"/>
    </row>
    <row r="27" spans="1:20" ht="18.75">
      <c r="A27" s="6"/>
      <c r="B27" s="6"/>
      <c r="C27" s="6"/>
      <c r="D27" s="6"/>
      <c r="E27" s="6"/>
      <c r="F27" s="6"/>
      <c r="G27" s="6"/>
      <c r="H27" s="6"/>
      <c r="I27" s="6"/>
      <c r="J27" s="6"/>
      <c r="K27" s="6"/>
      <c r="L27" s="6"/>
      <c r="M27" s="6"/>
      <c r="N27" s="6"/>
      <c r="O27" s="6"/>
      <c r="P27" s="6"/>
      <c r="Q27" s="6"/>
      <c r="R27" s="6"/>
      <c r="S27" s="6"/>
      <c r="T27" s="6"/>
    </row>
    <row r="28" spans="1:20" ht="18.75">
      <c r="A28" s="6"/>
      <c r="B28" s="6"/>
      <c r="C28" s="6"/>
      <c r="D28" s="6"/>
      <c r="E28" s="6"/>
      <c r="F28" s="6"/>
      <c r="G28" s="6"/>
      <c r="H28" s="6"/>
      <c r="I28" s="6"/>
      <c r="J28" s="6"/>
      <c r="K28" s="6"/>
      <c r="L28" s="6"/>
      <c r="M28" s="6"/>
      <c r="N28" s="6"/>
      <c r="O28" s="6"/>
      <c r="P28" s="6"/>
      <c r="Q28" s="6"/>
      <c r="R28" s="6"/>
      <c r="S28" s="6"/>
      <c r="T28" s="6"/>
    </row>
    <row r="29" spans="1:20" ht="18.75">
      <c r="A29" s="6"/>
      <c r="B29" s="6"/>
      <c r="C29" s="6"/>
      <c r="D29" s="6"/>
      <c r="E29" s="6"/>
      <c r="F29" s="6"/>
      <c r="G29" s="6"/>
      <c r="H29" s="6"/>
      <c r="I29" s="6"/>
      <c r="J29" s="6"/>
      <c r="K29" s="6"/>
      <c r="L29" s="6"/>
      <c r="M29" s="6"/>
      <c r="N29" s="6"/>
      <c r="O29" s="6"/>
      <c r="P29" s="6"/>
      <c r="Q29" s="6"/>
      <c r="R29" s="6"/>
      <c r="S29" s="6"/>
      <c r="T29" s="6"/>
    </row>
    <row r="30" spans="1:20" ht="22.5" customHeight="1">
      <c r="A30" s="6"/>
      <c r="B30" s="6"/>
      <c r="C30" s="6"/>
      <c r="D30" s="6"/>
      <c r="E30" s="6"/>
      <c r="F30" s="6"/>
      <c r="G30" s="6"/>
      <c r="H30" s="6"/>
      <c r="I30" s="6"/>
      <c r="J30" s="6"/>
      <c r="K30" s="6"/>
      <c r="L30" s="6"/>
      <c r="M30" s="6"/>
      <c r="N30" s="6"/>
      <c r="O30" s="6"/>
      <c r="P30" s="6"/>
      <c r="Q30" s="6"/>
      <c r="R30" s="6"/>
      <c r="S30" s="6"/>
      <c r="T30" s="6"/>
    </row>
    <row r="31" spans="1:20" ht="18.75">
      <c r="A31" s="6"/>
      <c r="B31" s="6"/>
      <c r="C31" s="6"/>
      <c r="D31" s="6"/>
      <c r="E31" s="6"/>
      <c r="F31" s="6"/>
      <c r="G31" s="6"/>
      <c r="H31" s="6"/>
      <c r="I31" s="6"/>
      <c r="J31" s="6"/>
      <c r="K31" s="6"/>
      <c r="L31" s="6"/>
      <c r="M31" s="6"/>
      <c r="N31" s="6"/>
      <c r="O31" s="6"/>
      <c r="P31" s="6"/>
      <c r="Q31" s="6"/>
      <c r="R31" s="6"/>
      <c r="S31" s="6"/>
      <c r="T31" s="6"/>
    </row>
    <row r="32" spans="1:20" ht="18.75">
      <c r="A32" s="6"/>
      <c r="B32" s="6"/>
      <c r="C32" s="6"/>
      <c r="D32" s="6"/>
      <c r="E32" s="6"/>
      <c r="F32" s="6"/>
      <c r="G32" s="6"/>
      <c r="H32" s="6"/>
      <c r="I32" s="6"/>
      <c r="J32" s="6"/>
      <c r="K32" s="6"/>
      <c r="L32" s="6"/>
      <c r="M32" s="6"/>
      <c r="N32" s="6"/>
      <c r="O32" s="6"/>
      <c r="P32" s="6"/>
      <c r="Q32" s="6"/>
      <c r="R32" s="6"/>
      <c r="S32" s="6"/>
      <c r="T32" s="6"/>
    </row>
    <row r="33" spans="1:20" ht="18.75">
      <c r="A33" s="6"/>
      <c r="B33" s="6"/>
      <c r="C33" s="6"/>
      <c r="D33" s="6"/>
      <c r="E33" s="6"/>
      <c r="F33" s="6"/>
      <c r="G33" s="6"/>
      <c r="H33" s="6"/>
      <c r="I33" s="6"/>
      <c r="J33" s="6"/>
      <c r="K33" s="6"/>
      <c r="L33" s="6"/>
      <c r="M33" s="6"/>
      <c r="N33" s="6"/>
      <c r="O33" s="6"/>
      <c r="P33" s="6"/>
      <c r="Q33" s="6"/>
      <c r="R33" s="6"/>
      <c r="S33" s="6"/>
      <c r="T33" s="6"/>
    </row>
    <row r="34" spans="1:20" ht="18.75">
      <c r="A34" s="6"/>
      <c r="B34" s="6"/>
      <c r="C34" s="6"/>
      <c r="D34" s="6"/>
      <c r="E34" s="6"/>
      <c r="F34" s="6"/>
      <c r="G34" s="6"/>
      <c r="H34" s="6"/>
      <c r="I34" s="6"/>
      <c r="J34" s="6"/>
      <c r="K34" s="6"/>
      <c r="L34" s="6"/>
      <c r="M34" s="6"/>
      <c r="N34" s="6"/>
      <c r="O34" s="6"/>
      <c r="P34" s="6"/>
      <c r="Q34" s="6"/>
      <c r="R34" s="6"/>
      <c r="S34" s="6"/>
      <c r="T34" s="6"/>
    </row>
  </sheetData>
  <mergeCells count="19">
    <mergeCell ref="A5:A7"/>
    <mergeCell ref="B5:B7"/>
    <mergeCell ref="C5:H5"/>
    <mergeCell ref="I5:N5"/>
    <mergeCell ref="O5:T5"/>
    <mergeCell ref="O6:O7"/>
    <mergeCell ref="P6:P7"/>
    <mergeCell ref="Q6:T6"/>
    <mergeCell ref="C6:C7"/>
    <mergeCell ref="D6:D7"/>
    <mergeCell ref="E6:H6"/>
    <mergeCell ref="I6:I7"/>
    <mergeCell ref="J6:J7"/>
    <mergeCell ref="K6:N6"/>
    <mergeCell ref="R1:T1"/>
    <mergeCell ref="A3:T3"/>
    <mergeCell ref="F4:H4"/>
    <mergeCell ref="L4:N4"/>
    <mergeCell ref="P4:T4"/>
  </mergeCells>
  <printOptions horizontalCentered="1"/>
  <pageMargins left="0.33" right="0.23622047244094499" top="0.43307086614173201" bottom="0.39370078740157499" header="0.31496062992126" footer="0.31496062992126"/>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workbookViewId="0">
      <selection activeCell="A4" sqref="A4"/>
    </sheetView>
  </sheetViews>
  <sheetFormatPr defaultColWidth="12.85546875" defaultRowHeight="15.75"/>
  <cols>
    <col min="1" max="1" width="6.42578125" style="35" customWidth="1"/>
    <col min="2" max="2" width="29.140625" style="35" customWidth="1"/>
    <col min="3" max="5" width="9.85546875" style="35" customWidth="1"/>
    <col min="6" max="6" width="9.85546875" style="35" hidden="1" customWidth="1"/>
    <col min="7" max="9" width="9.85546875" style="35" customWidth="1"/>
    <col min="10" max="10" width="9.85546875" style="142" customWidth="1"/>
    <col min="11" max="16" width="9.85546875" style="35" customWidth="1"/>
    <col min="17" max="17" width="9.85546875" style="35" hidden="1" customWidth="1"/>
    <col min="18" max="20" width="9.85546875" style="35" customWidth="1"/>
    <col min="21" max="21" width="9.85546875" style="35" hidden="1" customWidth="1"/>
    <col min="22" max="16384" width="12.85546875" style="35"/>
  </cols>
  <sheetData>
    <row r="1" spans="1:21" ht="21" customHeight="1">
      <c r="A1" s="1" t="s">
        <v>185</v>
      </c>
      <c r="B1" s="1"/>
      <c r="C1" s="1"/>
      <c r="D1" s="1"/>
      <c r="E1" s="1"/>
      <c r="F1" s="1"/>
      <c r="G1" s="1"/>
      <c r="H1" s="1"/>
      <c r="I1" s="34"/>
      <c r="J1" s="36"/>
      <c r="K1" s="34"/>
      <c r="L1" s="34"/>
      <c r="M1" s="37"/>
      <c r="N1" s="122"/>
      <c r="O1" s="122"/>
      <c r="P1" s="122"/>
      <c r="Q1" s="143"/>
      <c r="R1" s="1"/>
      <c r="S1" s="274" t="s">
        <v>954</v>
      </c>
      <c r="T1" s="274"/>
      <c r="U1" s="274"/>
    </row>
    <row r="2" spans="1:21" ht="21" customHeight="1">
      <c r="A2" s="36" t="s">
        <v>955</v>
      </c>
      <c r="B2" s="37"/>
      <c r="C2" s="37"/>
      <c r="D2" s="37"/>
      <c r="E2" s="37"/>
      <c r="F2" s="37"/>
      <c r="G2" s="38"/>
      <c r="H2" s="38"/>
      <c r="I2" s="38"/>
      <c r="J2" s="238"/>
      <c r="K2" s="38"/>
      <c r="L2" s="38"/>
      <c r="M2" s="38"/>
      <c r="N2" s="38"/>
      <c r="O2" s="38"/>
      <c r="P2" s="38"/>
      <c r="Q2" s="38"/>
      <c r="R2" s="37"/>
      <c r="S2" s="37"/>
      <c r="T2" s="37"/>
      <c r="U2" s="37"/>
    </row>
    <row r="3" spans="1:21" ht="21" customHeight="1">
      <c r="A3" s="276" t="str">
        <f>'67'!A3:T3</f>
        <v>(Quyết toán đã được Hội đồng nhân dân phê duyệt)</v>
      </c>
      <c r="B3" s="276"/>
      <c r="C3" s="276"/>
      <c r="D3" s="276"/>
      <c r="E3" s="276"/>
      <c r="F3" s="276"/>
      <c r="G3" s="276"/>
      <c r="H3" s="276"/>
      <c r="I3" s="276"/>
      <c r="J3" s="276"/>
      <c r="K3" s="276"/>
      <c r="L3" s="276"/>
      <c r="M3" s="276"/>
      <c r="N3" s="276"/>
      <c r="O3" s="276"/>
      <c r="P3" s="276"/>
      <c r="Q3" s="276"/>
      <c r="R3" s="276"/>
      <c r="S3" s="276"/>
      <c r="T3" s="276"/>
      <c r="U3" s="276"/>
    </row>
    <row r="4" spans="1:21" ht="19.5" customHeight="1">
      <c r="A4" s="39"/>
      <c r="B4" s="39"/>
      <c r="C4" s="39"/>
      <c r="D4" s="39"/>
      <c r="E4" s="39"/>
      <c r="F4" s="39"/>
      <c r="G4" s="40"/>
      <c r="H4" s="40"/>
      <c r="I4" s="40"/>
      <c r="J4" s="139"/>
      <c r="K4" s="40"/>
      <c r="L4" s="40"/>
      <c r="M4" s="123"/>
      <c r="N4" s="332"/>
      <c r="O4" s="332"/>
      <c r="P4" s="332"/>
      <c r="Q4" s="332"/>
      <c r="R4" s="332" t="s">
        <v>0</v>
      </c>
      <c r="S4" s="332"/>
      <c r="T4" s="332"/>
      <c r="U4" s="332"/>
    </row>
    <row r="5" spans="1:21" ht="19.5" customHeight="1">
      <c r="A5" s="320" t="s">
        <v>1</v>
      </c>
      <c r="B5" s="318" t="s">
        <v>170</v>
      </c>
      <c r="C5" s="333" t="s">
        <v>154</v>
      </c>
      <c r="D5" s="334"/>
      <c r="E5" s="334"/>
      <c r="F5" s="335"/>
      <c r="G5" s="333" t="s">
        <v>155</v>
      </c>
      <c r="H5" s="336"/>
      <c r="I5" s="336"/>
      <c r="J5" s="336"/>
      <c r="K5" s="336"/>
      <c r="L5" s="336"/>
      <c r="M5" s="336"/>
      <c r="N5" s="336"/>
      <c r="O5" s="336"/>
      <c r="P5" s="336"/>
      <c r="Q5" s="336"/>
      <c r="R5" s="333" t="s">
        <v>156</v>
      </c>
      <c r="S5" s="334"/>
      <c r="T5" s="334"/>
      <c r="U5" s="335"/>
    </row>
    <row r="6" spans="1:21" ht="22.15" customHeight="1">
      <c r="A6" s="321"/>
      <c r="B6" s="319"/>
      <c r="C6" s="320" t="s">
        <v>157</v>
      </c>
      <c r="D6" s="322" t="s">
        <v>171</v>
      </c>
      <c r="E6" s="323"/>
      <c r="F6" s="324" t="s">
        <v>956</v>
      </c>
      <c r="G6" s="320" t="s">
        <v>157</v>
      </c>
      <c r="H6" s="322" t="s">
        <v>171</v>
      </c>
      <c r="I6" s="323"/>
      <c r="J6" s="326" t="s">
        <v>957</v>
      </c>
      <c r="K6" s="327"/>
      <c r="L6" s="327"/>
      <c r="M6" s="327"/>
      <c r="N6" s="327"/>
      <c r="O6" s="327"/>
      <c r="P6" s="328"/>
      <c r="Q6" s="318" t="s">
        <v>956</v>
      </c>
      <c r="R6" s="320" t="s">
        <v>157</v>
      </c>
      <c r="S6" s="322" t="s">
        <v>171</v>
      </c>
      <c r="T6" s="323"/>
      <c r="U6" s="324" t="s">
        <v>956</v>
      </c>
    </row>
    <row r="7" spans="1:21" ht="22.15" customHeight="1">
      <c r="A7" s="321"/>
      <c r="B7" s="319"/>
      <c r="C7" s="321"/>
      <c r="D7" s="324" t="s">
        <v>172</v>
      </c>
      <c r="E7" s="324" t="s">
        <v>173</v>
      </c>
      <c r="F7" s="325"/>
      <c r="G7" s="321"/>
      <c r="H7" s="324" t="s">
        <v>172</v>
      </c>
      <c r="I7" s="324" t="s">
        <v>173</v>
      </c>
      <c r="J7" s="320" t="s">
        <v>157</v>
      </c>
      <c r="K7" s="329" t="s">
        <v>172</v>
      </c>
      <c r="L7" s="330"/>
      <c r="M7" s="331"/>
      <c r="N7" s="329" t="s">
        <v>173</v>
      </c>
      <c r="O7" s="330"/>
      <c r="P7" s="331"/>
      <c r="Q7" s="319"/>
      <c r="R7" s="321"/>
      <c r="S7" s="324" t="s">
        <v>172</v>
      </c>
      <c r="T7" s="324" t="s">
        <v>173</v>
      </c>
      <c r="U7" s="325"/>
    </row>
    <row r="8" spans="1:21" ht="50.45" customHeight="1">
      <c r="A8" s="321"/>
      <c r="B8" s="319"/>
      <c r="C8" s="321"/>
      <c r="D8" s="325"/>
      <c r="E8" s="325"/>
      <c r="F8" s="325"/>
      <c r="G8" s="321"/>
      <c r="H8" s="325"/>
      <c r="I8" s="325"/>
      <c r="J8" s="321"/>
      <c r="K8" s="239" t="s">
        <v>157</v>
      </c>
      <c r="L8" s="239" t="s">
        <v>174</v>
      </c>
      <c r="M8" s="239" t="s">
        <v>175</v>
      </c>
      <c r="N8" s="239" t="s">
        <v>157</v>
      </c>
      <c r="O8" s="239" t="s">
        <v>174</v>
      </c>
      <c r="P8" s="239" t="s">
        <v>175</v>
      </c>
      <c r="Q8" s="319"/>
      <c r="R8" s="321"/>
      <c r="S8" s="325"/>
      <c r="T8" s="325"/>
      <c r="U8" s="325"/>
    </row>
    <row r="9" spans="1:21" s="40" customFormat="1" ht="27" customHeight="1">
      <c r="A9" s="240"/>
      <c r="B9" s="240" t="s">
        <v>138</v>
      </c>
      <c r="C9" s="269">
        <v>14554</v>
      </c>
      <c r="D9" s="269">
        <v>0</v>
      </c>
      <c r="E9" s="269">
        <v>14554</v>
      </c>
      <c r="F9" s="251"/>
      <c r="G9" s="252">
        <v>32896.69872</v>
      </c>
      <c r="H9" s="252">
        <v>18599.605599999999</v>
      </c>
      <c r="I9" s="252">
        <v>14297.09312</v>
      </c>
      <c r="J9" s="252">
        <v>32895.69872</v>
      </c>
      <c r="K9" s="252">
        <v>18599.605599999999</v>
      </c>
      <c r="L9" s="252">
        <v>18599.605599999999</v>
      </c>
      <c r="M9" s="252"/>
      <c r="N9" s="252">
        <v>14297.09312</v>
      </c>
      <c r="O9" s="252">
        <v>14297.09312</v>
      </c>
      <c r="P9" s="252"/>
      <c r="Q9" s="253"/>
      <c r="R9" s="254">
        <f>G9/C9*100</f>
        <v>226.03200989418718</v>
      </c>
      <c r="S9" s="254"/>
      <c r="T9" s="254">
        <f t="shared" ref="T9" si="0">I9/E9*100</f>
        <v>98.234802253675952</v>
      </c>
      <c r="U9" s="241"/>
    </row>
    <row r="10" spans="1:21" s="40" customFormat="1" ht="27" customHeight="1">
      <c r="A10" s="242" t="s">
        <v>3</v>
      </c>
      <c r="B10" s="243" t="s">
        <v>958</v>
      </c>
      <c r="C10" s="270">
        <v>0</v>
      </c>
      <c r="D10" s="270">
        <v>0</v>
      </c>
      <c r="E10" s="270">
        <v>0</v>
      </c>
      <c r="F10" s="255"/>
      <c r="G10" s="256">
        <v>854.01600000000008</v>
      </c>
      <c r="H10" s="256">
        <v>845.01600000000008</v>
      </c>
      <c r="I10" s="256">
        <v>9</v>
      </c>
      <c r="J10" s="256">
        <v>854.01600000000008</v>
      </c>
      <c r="K10" s="256">
        <v>845.01600000000008</v>
      </c>
      <c r="L10" s="256">
        <v>845.01600000000008</v>
      </c>
      <c r="M10" s="256"/>
      <c r="N10" s="256">
        <v>9</v>
      </c>
      <c r="O10" s="256">
        <v>9</v>
      </c>
      <c r="P10" s="256"/>
      <c r="Q10" s="257"/>
      <c r="R10" s="258"/>
      <c r="S10" s="258"/>
      <c r="T10" s="258"/>
      <c r="U10" s="244"/>
    </row>
    <row r="11" spans="1:21" s="40" customFormat="1" ht="27" customHeight="1">
      <c r="A11" s="242" t="s">
        <v>6</v>
      </c>
      <c r="B11" s="243" t="s">
        <v>176</v>
      </c>
      <c r="C11" s="270">
        <v>0</v>
      </c>
      <c r="D11" s="270">
        <v>0</v>
      </c>
      <c r="E11" s="270">
        <v>0</v>
      </c>
      <c r="F11" s="255"/>
      <c r="G11" s="259"/>
      <c r="H11" s="259"/>
      <c r="I11" s="259"/>
      <c r="J11" s="256"/>
      <c r="K11" s="259"/>
      <c r="L11" s="259"/>
      <c r="M11" s="259"/>
      <c r="N11" s="259"/>
      <c r="O11" s="259"/>
      <c r="P11" s="259"/>
      <c r="Q11" s="257"/>
      <c r="R11" s="258"/>
      <c r="S11" s="258"/>
      <c r="T11" s="258"/>
      <c r="U11" s="244"/>
    </row>
    <row r="12" spans="1:21" s="40" customFormat="1" ht="27" customHeight="1">
      <c r="A12" s="242" t="s">
        <v>9</v>
      </c>
      <c r="B12" s="243" t="s">
        <v>959</v>
      </c>
      <c r="C12" s="270">
        <v>0</v>
      </c>
      <c r="D12" s="270">
        <v>0</v>
      </c>
      <c r="E12" s="270">
        <v>0</v>
      </c>
      <c r="F12" s="255"/>
      <c r="G12" s="256">
        <v>854.01600000000008</v>
      </c>
      <c r="H12" s="256">
        <v>845.01600000000008</v>
      </c>
      <c r="I12" s="256">
        <v>9</v>
      </c>
      <c r="J12" s="256">
        <v>854.01600000000008</v>
      </c>
      <c r="K12" s="256">
        <v>845.01600000000008</v>
      </c>
      <c r="L12" s="256">
        <v>845.01600000000008</v>
      </c>
      <c r="M12" s="256"/>
      <c r="N12" s="256">
        <v>9</v>
      </c>
      <c r="O12" s="256">
        <v>9</v>
      </c>
      <c r="P12" s="256"/>
      <c r="Q12" s="257"/>
      <c r="R12" s="258"/>
      <c r="S12" s="258"/>
      <c r="T12" s="258"/>
      <c r="U12" s="244"/>
    </row>
    <row r="13" spans="1:21" s="40" customFormat="1" ht="27" customHeight="1">
      <c r="A13" s="245">
        <v>1</v>
      </c>
      <c r="B13" s="231" t="s">
        <v>953</v>
      </c>
      <c r="C13" s="271">
        <v>0</v>
      </c>
      <c r="D13" s="271">
        <v>0</v>
      </c>
      <c r="E13" s="271">
        <v>0</v>
      </c>
      <c r="F13" s="255"/>
      <c r="G13" s="259">
        <v>80.7</v>
      </c>
      <c r="H13" s="259">
        <v>71.7</v>
      </c>
      <c r="I13" s="259">
        <v>9</v>
      </c>
      <c r="J13" s="259">
        <v>80.7</v>
      </c>
      <c r="K13" s="259">
        <v>71.7</v>
      </c>
      <c r="L13" s="259">
        <v>71.7</v>
      </c>
      <c r="M13" s="259"/>
      <c r="N13" s="259">
        <v>9</v>
      </c>
      <c r="O13" s="259">
        <v>9</v>
      </c>
      <c r="P13" s="259"/>
      <c r="Q13" s="257"/>
      <c r="R13" s="258"/>
      <c r="S13" s="258"/>
      <c r="T13" s="258"/>
      <c r="U13" s="244"/>
    </row>
    <row r="14" spans="1:21" s="40" customFormat="1" ht="27" customHeight="1">
      <c r="A14" s="245">
        <v>2</v>
      </c>
      <c r="B14" s="231" t="s">
        <v>164</v>
      </c>
      <c r="C14" s="271">
        <v>0</v>
      </c>
      <c r="D14" s="271">
        <v>0</v>
      </c>
      <c r="E14" s="271">
        <v>0</v>
      </c>
      <c r="F14" s="260"/>
      <c r="G14" s="259">
        <v>773.31600000000003</v>
      </c>
      <c r="H14" s="259">
        <v>773.31600000000003</v>
      </c>
      <c r="I14" s="259">
        <v>0</v>
      </c>
      <c r="J14" s="259">
        <v>773.31600000000003</v>
      </c>
      <c r="K14" s="259">
        <v>773.31600000000003</v>
      </c>
      <c r="L14" s="259">
        <v>773.31600000000003</v>
      </c>
      <c r="M14" s="259"/>
      <c r="N14" s="259"/>
      <c r="O14" s="259"/>
      <c r="P14" s="259"/>
      <c r="Q14" s="257"/>
      <c r="R14" s="261"/>
      <c r="S14" s="261"/>
      <c r="T14" s="261"/>
      <c r="U14" s="222"/>
    </row>
    <row r="15" spans="1:21" s="40" customFormat="1" ht="27" customHeight="1">
      <c r="A15" s="242" t="s">
        <v>4</v>
      </c>
      <c r="B15" s="243" t="s">
        <v>960</v>
      </c>
      <c r="C15" s="270">
        <v>14554</v>
      </c>
      <c r="D15" s="270">
        <v>0</v>
      </c>
      <c r="E15" s="270">
        <v>14554</v>
      </c>
      <c r="F15" s="260"/>
      <c r="G15" s="256">
        <v>32041.682719999997</v>
      </c>
      <c r="H15" s="256">
        <v>17754.589599999999</v>
      </c>
      <c r="I15" s="256">
        <v>14288.09312</v>
      </c>
      <c r="J15" s="256">
        <v>32042.682719999997</v>
      </c>
      <c r="K15" s="256">
        <v>17754.589599999999</v>
      </c>
      <c r="L15" s="256">
        <v>17754.589599999999</v>
      </c>
      <c r="M15" s="256"/>
      <c r="N15" s="256">
        <v>14288.09312</v>
      </c>
      <c r="O15" s="256">
        <v>14288.09312</v>
      </c>
      <c r="P15" s="259"/>
      <c r="Q15" s="257"/>
      <c r="R15" s="262">
        <f t="shared" ref="R15:R38" si="1">G15/C15*100</f>
        <v>220.15722632953137</v>
      </c>
      <c r="S15" s="262"/>
      <c r="T15" s="262">
        <f t="shared" ref="T15:T38" si="2">I15/E15*100</f>
        <v>98.172963583894457</v>
      </c>
      <c r="U15" s="222"/>
    </row>
    <row r="16" spans="1:21" s="40" customFormat="1" ht="27" customHeight="1">
      <c r="A16" s="242" t="s">
        <v>6</v>
      </c>
      <c r="B16" s="243" t="s">
        <v>176</v>
      </c>
      <c r="C16" s="270">
        <v>4384</v>
      </c>
      <c r="D16" s="270">
        <v>0</v>
      </c>
      <c r="E16" s="270">
        <v>4384</v>
      </c>
      <c r="F16" s="260"/>
      <c r="G16" s="256">
        <v>15295.262719999999</v>
      </c>
      <c r="H16" s="256">
        <v>10852.302599999999</v>
      </c>
      <c r="I16" s="256">
        <v>4442.9601199999997</v>
      </c>
      <c r="J16" s="256">
        <v>15295.262719999999</v>
      </c>
      <c r="K16" s="256">
        <v>10852.302599999999</v>
      </c>
      <c r="L16" s="256">
        <v>10852.302599999999</v>
      </c>
      <c r="M16" s="256"/>
      <c r="N16" s="256">
        <v>4442.9601199999997</v>
      </c>
      <c r="O16" s="256">
        <v>4442.9601199999997</v>
      </c>
      <c r="P16" s="259"/>
      <c r="Q16" s="257"/>
      <c r="R16" s="262">
        <f t="shared" si="1"/>
        <v>348.88829197080292</v>
      </c>
      <c r="S16" s="262"/>
      <c r="T16" s="262">
        <f t="shared" si="2"/>
        <v>101.34489324817517</v>
      </c>
      <c r="U16" s="222"/>
    </row>
    <row r="17" spans="1:21" s="40" customFormat="1" ht="27" customHeight="1">
      <c r="A17" s="245">
        <v>1</v>
      </c>
      <c r="B17" s="246" t="s">
        <v>961</v>
      </c>
      <c r="C17" s="271"/>
      <c r="D17" s="271"/>
      <c r="E17" s="271"/>
      <c r="F17" s="255"/>
      <c r="G17" s="259">
        <v>364.32100000000003</v>
      </c>
      <c r="H17" s="259">
        <v>364.32100000000003</v>
      </c>
      <c r="I17" s="259">
        <v>0</v>
      </c>
      <c r="J17" s="259">
        <v>364.32100000000003</v>
      </c>
      <c r="K17" s="259">
        <v>364.32100000000003</v>
      </c>
      <c r="L17" s="259">
        <v>364.32100000000003</v>
      </c>
      <c r="M17" s="259"/>
      <c r="N17" s="259"/>
      <c r="O17" s="259"/>
      <c r="P17" s="259"/>
      <c r="Q17" s="257"/>
      <c r="R17" s="263"/>
      <c r="S17" s="263"/>
      <c r="T17" s="263"/>
      <c r="U17" s="244"/>
    </row>
    <row r="18" spans="1:21" s="40" customFormat="1" ht="27" customHeight="1">
      <c r="A18" s="245">
        <v>2</v>
      </c>
      <c r="B18" s="246" t="s">
        <v>962</v>
      </c>
      <c r="C18" s="271"/>
      <c r="D18" s="271"/>
      <c r="E18" s="271"/>
      <c r="F18" s="260"/>
      <c r="G18" s="259">
        <v>10487.981599999999</v>
      </c>
      <c r="H18" s="259">
        <v>10487.981599999999</v>
      </c>
      <c r="I18" s="259">
        <v>0</v>
      </c>
      <c r="J18" s="259">
        <v>10487.981599999999</v>
      </c>
      <c r="K18" s="259">
        <v>10487.981599999999</v>
      </c>
      <c r="L18" s="259">
        <v>10487.981599999999</v>
      </c>
      <c r="M18" s="259"/>
      <c r="N18" s="259"/>
      <c r="O18" s="259"/>
      <c r="P18" s="259"/>
      <c r="Q18" s="257"/>
      <c r="R18" s="262"/>
      <c r="S18" s="262"/>
      <c r="T18" s="262"/>
      <c r="U18" s="222"/>
    </row>
    <row r="19" spans="1:21" s="40" customFormat="1" ht="27" customHeight="1">
      <c r="A19" s="245">
        <v>3</v>
      </c>
      <c r="B19" s="246" t="s">
        <v>183</v>
      </c>
      <c r="C19" s="271">
        <v>2599</v>
      </c>
      <c r="D19" s="271">
        <v>0</v>
      </c>
      <c r="E19" s="271">
        <v>2599</v>
      </c>
      <c r="F19" s="260"/>
      <c r="G19" s="259">
        <v>2576.3846199999998</v>
      </c>
      <c r="H19" s="259">
        <v>0</v>
      </c>
      <c r="I19" s="259">
        <v>2576.3846199999998</v>
      </c>
      <c r="J19" s="259">
        <v>2576.3846199999998</v>
      </c>
      <c r="K19" s="259">
        <v>0</v>
      </c>
      <c r="L19" s="259"/>
      <c r="M19" s="259"/>
      <c r="N19" s="259">
        <v>2576.3846199999998</v>
      </c>
      <c r="O19" s="259">
        <v>2576.3846199999998</v>
      </c>
      <c r="P19" s="259"/>
      <c r="Q19" s="257"/>
      <c r="R19" s="262">
        <f t="shared" si="1"/>
        <v>99.129843016544811</v>
      </c>
      <c r="S19" s="262"/>
      <c r="T19" s="262">
        <f t="shared" si="2"/>
        <v>99.129843016544811</v>
      </c>
      <c r="U19" s="222"/>
    </row>
    <row r="20" spans="1:21" s="40" customFormat="1" ht="27" customHeight="1">
      <c r="A20" s="245">
        <v>4</v>
      </c>
      <c r="B20" s="246" t="s">
        <v>963</v>
      </c>
      <c r="C20" s="271">
        <v>100</v>
      </c>
      <c r="D20" s="271">
        <v>0</v>
      </c>
      <c r="E20" s="271">
        <v>100</v>
      </c>
      <c r="F20" s="260"/>
      <c r="G20" s="259">
        <v>100</v>
      </c>
      <c r="H20" s="259">
        <v>0</v>
      </c>
      <c r="I20" s="259">
        <v>100</v>
      </c>
      <c r="J20" s="259">
        <v>100</v>
      </c>
      <c r="K20" s="259"/>
      <c r="L20" s="259"/>
      <c r="M20" s="259"/>
      <c r="N20" s="259">
        <v>100</v>
      </c>
      <c r="O20" s="259">
        <v>100</v>
      </c>
      <c r="P20" s="259"/>
      <c r="Q20" s="257"/>
      <c r="R20" s="262">
        <f t="shared" si="1"/>
        <v>100</v>
      </c>
      <c r="S20" s="262"/>
      <c r="T20" s="262">
        <f t="shared" si="2"/>
        <v>100</v>
      </c>
      <c r="U20" s="222"/>
    </row>
    <row r="21" spans="1:21" s="40" customFormat="1" ht="27" customHeight="1">
      <c r="A21" s="245">
        <v>5</v>
      </c>
      <c r="B21" s="246" t="s">
        <v>964</v>
      </c>
      <c r="C21" s="271">
        <v>100</v>
      </c>
      <c r="D21" s="271">
        <v>0</v>
      </c>
      <c r="E21" s="271">
        <v>100</v>
      </c>
      <c r="F21" s="260"/>
      <c r="G21" s="259">
        <v>100</v>
      </c>
      <c r="H21" s="259">
        <v>0</v>
      </c>
      <c r="I21" s="259">
        <v>100</v>
      </c>
      <c r="J21" s="259">
        <v>100</v>
      </c>
      <c r="K21" s="259"/>
      <c r="L21" s="259"/>
      <c r="M21" s="259"/>
      <c r="N21" s="259">
        <v>100</v>
      </c>
      <c r="O21" s="259">
        <v>100</v>
      </c>
      <c r="P21" s="259"/>
      <c r="Q21" s="257"/>
      <c r="R21" s="262">
        <f t="shared" si="1"/>
        <v>100</v>
      </c>
      <c r="S21" s="262"/>
      <c r="T21" s="262">
        <f t="shared" si="2"/>
        <v>100</v>
      </c>
      <c r="U21" s="222"/>
    </row>
    <row r="22" spans="1:21" s="40" customFormat="1" ht="27" customHeight="1">
      <c r="A22" s="245">
        <v>6</v>
      </c>
      <c r="B22" s="246" t="s">
        <v>965</v>
      </c>
      <c r="C22" s="271">
        <v>100</v>
      </c>
      <c r="D22" s="271">
        <v>0</v>
      </c>
      <c r="E22" s="271">
        <v>100</v>
      </c>
      <c r="F22" s="260"/>
      <c r="G22" s="259">
        <v>100</v>
      </c>
      <c r="H22" s="259">
        <v>0</v>
      </c>
      <c r="I22" s="259">
        <v>100</v>
      </c>
      <c r="J22" s="259">
        <v>100</v>
      </c>
      <c r="K22" s="259"/>
      <c r="L22" s="259"/>
      <c r="M22" s="259"/>
      <c r="N22" s="259">
        <v>100</v>
      </c>
      <c r="O22" s="259">
        <v>100</v>
      </c>
      <c r="P22" s="259"/>
      <c r="Q22" s="257"/>
      <c r="R22" s="262">
        <f t="shared" si="1"/>
        <v>100</v>
      </c>
      <c r="S22" s="262"/>
      <c r="T22" s="262">
        <f t="shared" si="2"/>
        <v>100</v>
      </c>
      <c r="U22" s="222"/>
    </row>
    <row r="23" spans="1:21" ht="18.75">
      <c r="A23" s="245">
        <v>7</v>
      </c>
      <c r="B23" s="246" t="s">
        <v>966</v>
      </c>
      <c r="C23" s="271">
        <v>600</v>
      </c>
      <c r="D23" s="271">
        <v>0</v>
      </c>
      <c r="E23" s="271">
        <v>600</v>
      </c>
      <c r="F23" s="264"/>
      <c r="G23" s="262">
        <v>681.57550000000003</v>
      </c>
      <c r="H23" s="262">
        <v>0</v>
      </c>
      <c r="I23" s="262">
        <v>681.57550000000003</v>
      </c>
      <c r="J23" s="259">
        <v>681.57550000000003</v>
      </c>
      <c r="K23" s="259"/>
      <c r="L23" s="259"/>
      <c r="M23" s="259"/>
      <c r="N23" s="259">
        <v>681.57550000000003</v>
      </c>
      <c r="O23" s="259">
        <v>681.57550000000003</v>
      </c>
      <c r="P23" s="259"/>
      <c r="Q23" s="264"/>
      <c r="R23" s="262">
        <f t="shared" si="1"/>
        <v>113.59591666666667</v>
      </c>
      <c r="S23" s="262"/>
      <c r="T23" s="262">
        <f t="shared" si="2"/>
        <v>113.59591666666667</v>
      </c>
      <c r="U23" s="219"/>
    </row>
    <row r="24" spans="1:21" ht="18.75">
      <c r="A24" s="245">
        <v>8</v>
      </c>
      <c r="B24" s="246" t="s">
        <v>967</v>
      </c>
      <c r="C24" s="271">
        <v>100</v>
      </c>
      <c r="D24" s="271">
        <v>0</v>
      </c>
      <c r="E24" s="271">
        <v>100</v>
      </c>
      <c r="F24" s="264"/>
      <c r="G24" s="261">
        <v>100</v>
      </c>
      <c r="H24" s="261">
        <v>0</v>
      </c>
      <c r="I24" s="261">
        <v>100</v>
      </c>
      <c r="J24" s="259">
        <v>100</v>
      </c>
      <c r="K24" s="259"/>
      <c r="L24" s="259"/>
      <c r="M24" s="259"/>
      <c r="N24" s="259">
        <v>100</v>
      </c>
      <c r="O24" s="259">
        <v>100</v>
      </c>
      <c r="P24" s="259"/>
      <c r="Q24" s="264"/>
      <c r="R24" s="262">
        <f t="shared" si="1"/>
        <v>100</v>
      </c>
      <c r="S24" s="262"/>
      <c r="T24" s="262">
        <f t="shared" si="2"/>
        <v>100</v>
      </c>
      <c r="U24" s="219"/>
    </row>
    <row r="25" spans="1:21" ht="18.75">
      <c r="A25" s="245">
        <v>9</v>
      </c>
      <c r="B25" s="246" t="s">
        <v>968</v>
      </c>
      <c r="C25" s="271">
        <v>200</v>
      </c>
      <c r="D25" s="271">
        <v>0</v>
      </c>
      <c r="E25" s="271">
        <v>200</v>
      </c>
      <c r="F25" s="264"/>
      <c r="G25" s="261">
        <v>200</v>
      </c>
      <c r="H25" s="261">
        <v>0</v>
      </c>
      <c r="I25" s="261">
        <v>200</v>
      </c>
      <c r="J25" s="259">
        <v>200</v>
      </c>
      <c r="K25" s="259"/>
      <c r="L25" s="259"/>
      <c r="M25" s="259"/>
      <c r="N25" s="259">
        <v>200</v>
      </c>
      <c r="O25" s="259">
        <v>200</v>
      </c>
      <c r="P25" s="259"/>
      <c r="Q25" s="264"/>
      <c r="R25" s="262">
        <f t="shared" si="1"/>
        <v>100</v>
      </c>
      <c r="S25" s="262"/>
      <c r="T25" s="262">
        <f t="shared" si="2"/>
        <v>100</v>
      </c>
      <c r="U25" s="219"/>
    </row>
    <row r="26" spans="1:21" ht="18.75">
      <c r="A26" s="245">
        <v>10</v>
      </c>
      <c r="B26" s="246" t="s">
        <v>969</v>
      </c>
      <c r="C26" s="271">
        <v>185</v>
      </c>
      <c r="D26" s="271">
        <v>0</v>
      </c>
      <c r="E26" s="271">
        <v>185</v>
      </c>
      <c r="F26" s="264"/>
      <c r="G26" s="261">
        <v>185</v>
      </c>
      <c r="H26" s="261">
        <v>0</v>
      </c>
      <c r="I26" s="261">
        <v>185</v>
      </c>
      <c r="J26" s="259">
        <v>185</v>
      </c>
      <c r="K26" s="259"/>
      <c r="L26" s="259"/>
      <c r="M26" s="259"/>
      <c r="N26" s="259">
        <v>185</v>
      </c>
      <c r="O26" s="259">
        <v>185</v>
      </c>
      <c r="P26" s="259"/>
      <c r="Q26" s="264"/>
      <c r="R26" s="262">
        <f t="shared" si="1"/>
        <v>100</v>
      </c>
      <c r="S26" s="262"/>
      <c r="T26" s="262">
        <f t="shared" si="2"/>
        <v>100</v>
      </c>
      <c r="U26" s="219"/>
    </row>
    <row r="27" spans="1:21" ht="18.75">
      <c r="A27" s="245">
        <v>11</v>
      </c>
      <c r="B27" s="246" t="s">
        <v>184</v>
      </c>
      <c r="C27" s="271">
        <v>400</v>
      </c>
      <c r="D27" s="271">
        <v>0</v>
      </c>
      <c r="E27" s="271">
        <v>400</v>
      </c>
      <c r="F27" s="264"/>
      <c r="G27" s="261">
        <v>400</v>
      </c>
      <c r="H27" s="261">
        <v>0</v>
      </c>
      <c r="I27" s="261">
        <v>400</v>
      </c>
      <c r="J27" s="259">
        <v>400</v>
      </c>
      <c r="K27" s="259"/>
      <c r="L27" s="259"/>
      <c r="M27" s="259"/>
      <c r="N27" s="259">
        <v>400</v>
      </c>
      <c r="O27" s="259">
        <v>400</v>
      </c>
      <c r="P27" s="259"/>
      <c r="Q27" s="264"/>
      <c r="R27" s="262">
        <f t="shared" si="1"/>
        <v>100</v>
      </c>
      <c r="S27" s="262"/>
      <c r="T27" s="262">
        <f t="shared" si="2"/>
        <v>100</v>
      </c>
      <c r="U27" s="219"/>
    </row>
    <row r="28" spans="1:21" ht="18.75">
      <c r="A28" s="242" t="s">
        <v>9</v>
      </c>
      <c r="B28" s="243" t="s">
        <v>970</v>
      </c>
      <c r="C28" s="270">
        <v>10170</v>
      </c>
      <c r="D28" s="270">
        <v>0</v>
      </c>
      <c r="E28" s="270">
        <v>10170</v>
      </c>
      <c r="F28" s="264"/>
      <c r="G28" s="263">
        <v>16747.419999999998</v>
      </c>
      <c r="H28" s="263">
        <v>6902.2869999999994</v>
      </c>
      <c r="I28" s="263">
        <v>9845.1329999999998</v>
      </c>
      <c r="J28" s="256">
        <v>16747.419999999998</v>
      </c>
      <c r="K28" s="256">
        <v>6902.2869999999994</v>
      </c>
      <c r="L28" s="256">
        <v>6902.2869999999994</v>
      </c>
      <c r="M28" s="256"/>
      <c r="N28" s="256">
        <v>9845.1329999999998</v>
      </c>
      <c r="O28" s="256">
        <v>9845.1329999999998</v>
      </c>
      <c r="P28" s="256"/>
      <c r="Q28" s="264"/>
      <c r="R28" s="262">
        <f t="shared" si="1"/>
        <v>164.67472959685347</v>
      </c>
      <c r="S28" s="262"/>
      <c r="T28" s="262">
        <f t="shared" si="2"/>
        <v>96.805634218289086</v>
      </c>
      <c r="U28" s="219"/>
    </row>
    <row r="29" spans="1:21" ht="18.75">
      <c r="A29" s="245">
        <v>1</v>
      </c>
      <c r="B29" s="231" t="s">
        <v>168</v>
      </c>
      <c r="C29" s="271">
        <v>1201</v>
      </c>
      <c r="D29" s="271">
        <v>0</v>
      </c>
      <c r="E29" s="271">
        <v>1201</v>
      </c>
      <c r="F29" s="264"/>
      <c r="G29" s="261">
        <v>1195</v>
      </c>
      <c r="H29" s="261">
        <v>0</v>
      </c>
      <c r="I29" s="261">
        <v>1195</v>
      </c>
      <c r="J29" s="259">
        <v>1195</v>
      </c>
      <c r="K29" s="259"/>
      <c r="L29" s="259"/>
      <c r="M29" s="259"/>
      <c r="N29" s="259">
        <v>1195</v>
      </c>
      <c r="O29" s="259">
        <v>1195</v>
      </c>
      <c r="P29" s="259"/>
      <c r="Q29" s="264"/>
      <c r="R29" s="262">
        <f t="shared" si="1"/>
        <v>99.50041631973356</v>
      </c>
      <c r="S29" s="262"/>
      <c r="T29" s="262">
        <f t="shared" si="2"/>
        <v>99.50041631973356</v>
      </c>
      <c r="U29" s="219"/>
    </row>
    <row r="30" spans="1:21" ht="22.5" customHeight="1">
      <c r="A30" s="245" t="s">
        <v>592</v>
      </c>
      <c r="B30" s="231" t="s">
        <v>169</v>
      </c>
      <c r="C30" s="271">
        <v>1468</v>
      </c>
      <c r="D30" s="271"/>
      <c r="E30" s="271">
        <v>1468</v>
      </c>
      <c r="F30" s="264"/>
      <c r="G30" s="262">
        <v>3221.2</v>
      </c>
      <c r="H30" s="262">
        <v>1967.2</v>
      </c>
      <c r="I30" s="262">
        <v>1254</v>
      </c>
      <c r="J30" s="259">
        <v>3221.2</v>
      </c>
      <c r="K30" s="259">
        <v>1967.2</v>
      </c>
      <c r="L30" s="259">
        <v>1967.2</v>
      </c>
      <c r="M30" s="259"/>
      <c r="N30" s="259">
        <v>1254</v>
      </c>
      <c r="O30" s="259">
        <v>1254</v>
      </c>
      <c r="P30" s="259"/>
      <c r="Q30" s="264"/>
      <c r="R30" s="262">
        <f t="shared" si="1"/>
        <v>219.42779291553131</v>
      </c>
      <c r="S30" s="262"/>
      <c r="T30" s="262">
        <f t="shared" si="2"/>
        <v>85.422343324250676</v>
      </c>
      <c r="U30" s="219"/>
    </row>
    <row r="31" spans="1:21" ht="18.75">
      <c r="A31" s="245">
        <v>3</v>
      </c>
      <c r="B31" s="231" t="s">
        <v>951</v>
      </c>
      <c r="C31" s="271">
        <v>1435</v>
      </c>
      <c r="D31" s="271"/>
      <c r="E31" s="271">
        <v>1435</v>
      </c>
      <c r="F31" s="264"/>
      <c r="G31" s="261">
        <v>1438</v>
      </c>
      <c r="H31" s="261">
        <v>37</v>
      </c>
      <c r="I31" s="261">
        <v>1401</v>
      </c>
      <c r="J31" s="259">
        <v>1438</v>
      </c>
      <c r="K31" s="259">
        <v>37</v>
      </c>
      <c r="L31" s="259">
        <v>37</v>
      </c>
      <c r="M31" s="259"/>
      <c r="N31" s="259">
        <v>1401</v>
      </c>
      <c r="O31" s="259">
        <v>1401</v>
      </c>
      <c r="P31" s="259"/>
      <c r="Q31" s="264"/>
      <c r="R31" s="262">
        <f t="shared" si="1"/>
        <v>100.20905923344947</v>
      </c>
      <c r="S31" s="262"/>
      <c r="T31" s="262">
        <f t="shared" si="2"/>
        <v>97.630662020905916</v>
      </c>
      <c r="U31" s="219"/>
    </row>
    <row r="32" spans="1:21" ht="18.75">
      <c r="A32" s="245">
        <v>4</v>
      </c>
      <c r="B32" s="231" t="s">
        <v>952</v>
      </c>
      <c r="C32" s="271">
        <v>535</v>
      </c>
      <c r="D32" s="271"/>
      <c r="E32" s="271">
        <v>535</v>
      </c>
      <c r="F32" s="264"/>
      <c r="G32" s="261">
        <v>534</v>
      </c>
      <c r="H32" s="261">
        <v>0</v>
      </c>
      <c r="I32" s="261">
        <v>534</v>
      </c>
      <c r="J32" s="259">
        <v>534</v>
      </c>
      <c r="K32" s="259"/>
      <c r="L32" s="259"/>
      <c r="M32" s="259"/>
      <c r="N32" s="259">
        <v>534</v>
      </c>
      <c r="O32" s="259">
        <v>534</v>
      </c>
      <c r="P32" s="259"/>
      <c r="Q32" s="264"/>
      <c r="R32" s="262">
        <f t="shared" si="1"/>
        <v>99.813084112149525</v>
      </c>
      <c r="S32" s="262"/>
      <c r="T32" s="262">
        <f t="shared" si="2"/>
        <v>99.813084112149525</v>
      </c>
      <c r="U32" s="219"/>
    </row>
    <row r="33" spans="1:21" ht="18.75">
      <c r="A33" s="245">
        <v>5</v>
      </c>
      <c r="B33" s="231" t="s">
        <v>165</v>
      </c>
      <c r="C33" s="271">
        <v>1254</v>
      </c>
      <c r="D33" s="271"/>
      <c r="E33" s="271">
        <v>1254</v>
      </c>
      <c r="F33" s="264"/>
      <c r="G33" s="261">
        <v>1135</v>
      </c>
      <c r="H33" s="261">
        <v>0</v>
      </c>
      <c r="I33" s="261">
        <v>1135</v>
      </c>
      <c r="J33" s="259">
        <v>1135</v>
      </c>
      <c r="K33" s="259"/>
      <c r="L33" s="259"/>
      <c r="M33" s="259"/>
      <c r="N33" s="259">
        <v>1135</v>
      </c>
      <c r="O33" s="259">
        <v>1135</v>
      </c>
      <c r="P33" s="259"/>
      <c r="Q33" s="264"/>
      <c r="R33" s="262">
        <f t="shared" si="1"/>
        <v>90.5103668261563</v>
      </c>
      <c r="S33" s="262"/>
      <c r="T33" s="262">
        <f t="shared" si="2"/>
        <v>90.5103668261563</v>
      </c>
      <c r="U33" s="219"/>
    </row>
    <row r="34" spans="1:21" ht="18.75">
      <c r="A34" s="245">
        <v>6</v>
      </c>
      <c r="B34" s="231" t="s">
        <v>953</v>
      </c>
      <c r="C34" s="271">
        <v>1221</v>
      </c>
      <c r="D34" s="271"/>
      <c r="E34" s="271">
        <v>1221</v>
      </c>
      <c r="F34" s="264"/>
      <c r="G34" s="261">
        <v>1377</v>
      </c>
      <c r="H34" s="261">
        <v>156</v>
      </c>
      <c r="I34" s="261">
        <v>1221</v>
      </c>
      <c r="J34" s="259">
        <v>1377</v>
      </c>
      <c r="K34" s="259">
        <v>156</v>
      </c>
      <c r="L34" s="259">
        <v>156</v>
      </c>
      <c r="M34" s="259"/>
      <c r="N34" s="259">
        <v>1221</v>
      </c>
      <c r="O34" s="259">
        <v>1221</v>
      </c>
      <c r="P34" s="259"/>
      <c r="Q34" s="264"/>
      <c r="R34" s="262">
        <f t="shared" si="1"/>
        <v>112.77641277641277</v>
      </c>
      <c r="S34" s="262"/>
      <c r="T34" s="262">
        <f t="shared" si="2"/>
        <v>100</v>
      </c>
      <c r="U34" s="219"/>
    </row>
    <row r="35" spans="1:21">
      <c r="A35" s="245">
        <v>7</v>
      </c>
      <c r="B35" s="231" t="s">
        <v>164</v>
      </c>
      <c r="C35" s="271">
        <v>548</v>
      </c>
      <c r="D35" s="271"/>
      <c r="E35" s="271">
        <v>548</v>
      </c>
      <c r="F35" s="260"/>
      <c r="G35" s="262">
        <v>3053.4799999999996</v>
      </c>
      <c r="H35" s="262">
        <v>2191.2869999999998</v>
      </c>
      <c r="I35" s="262">
        <v>862.19299999999998</v>
      </c>
      <c r="J35" s="259">
        <v>3053.4799999999996</v>
      </c>
      <c r="K35" s="259">
        <v>2191.2869999999998</v>
      </c>
      <c r="L35" s="259">
        <v>2191.2869999999998</v>
      </c>
      <c r="M35" s="259"/>
      <c r="N35" s="259">
        <v>862.19299999999998</v>
      </c>
      <c r="O35" s="259">
        <v>862.19299999999998</v>
      </c>
      <c r="P35" s="259"/>
      <c r="Q35" s="260"/>
      <c r="R35" s="262">
        <f t="shared" si="1"/>
        <v>557.20437956204364</v>
      </c>
      <c r="S35" s="262"/>
      <c r="T35" s="262">
        <f t="shared" si="2"/>
        <v>157.33448905109489</v>
      </c>
      <c r="U35" s="222"/>
    </row>
    <row r="36" spans="1:21">
      <c r="A36" s="245">
        <v>8</v>
      </c>
      <c r="B36" s="231" t="s">
        <v>166</v>
      </c>
      <c r="C36" s="271">
        <v>766</v>
      </c>
      <c r="D36" s="271"/>
      <c r="E36" s="271">
        <v>766</v>
      </c>
      <c r="F36" s="260"/>
      <c r="G36" s="262">
        <v>735.44</v>
      </c>
      <c r="H36" s="262">
        <v>0</v>
      </c>
      <c r="I36" s="262">
        <v>735.44</v>
      </c>
      <c r="J36" s="259">
        <v>735.44</v>
      </c>
      <c r="K36" s="259"/>
      <c r="L36" s="259"/>
      <c r="M36" s="259"/>
      <c r="N36" s="259">
        <v>735.44</v>
      </c>
      <c r="O36" s="259">
        <v>735.44</v>
      </c>
      <c r="P36" s="259"/>
      <c r="Q36" s="260"/>
      <c r="R36" s="262">
        <f t="shared" si="1"/>
        <v>96.010443864229771</v>
      </c>
      <c r="S36" s="262"/>
      <c r="T36" s="262">
        <f t="shared" si="2"/>
        <v>96.010443864229771</v>
      </c>
      <c r="U36" s="222"/>
    </row>
    <row r="37" spans="1:21">
      <c r="A37" s="245">
        <v>9</v>
      </c>
      <c r="B37" s="231" t="s">
        <v>167</v>
      </c>
      <c r="C37" s="271">
        <v>574</v>
      </c>
      <c r="D37" s="271"/>
      <c r="E37" s="271">
        <v>574</v>
      </c>
      <c r="F37" s="260"/>
      <c r="G37" s="262">
        <v>3590.3</v>
      </c>
      <c r="H37" s="262">
        <v>2550.8000000000002</v>
      </c>
      <c r="I37" s="262">
        <v>1039.5</v>
      </c>
      <c r="J37" s="259">
        <v>3590.3</v>
      </c>
      <c r="K37" s="259">
        <v>2550.8000000000002</v>
      </c>
      <c r="L37" s="259">
        <v>2550.8000000000002</v>
      </c>
      <c r="M37" s="259"/>
      <c r="N37" s="259">
        <v>1039.5</v>
      </c>
      <c r="O37" s="259">
        <v>1039.5</v>
      </c>
      <c r="P37" s="259"/>
      <c r="Q37" s="260"/>
      <c r="R37" s="262">
        <f t="shared" si="1"/>
        <v>625.48780487804879</v>
      </c>
      <c r="S37" s="262"/>
      <c r="T37" s="262">
        <f t="shared" si="2"/>
        <v>181.09756097560975</v>
      </c>
      <c r="U37" s="222"/>
    </row>
    <row r="38" spans="1:21">
      <c r="A38" s="247">
        <v>10</v>
      </c>
      <c r="B38" s="233" t="s">
        <v>163</v>
      </c>
      <c r="C38" s="272">
        <v>1168</v>
      </c>
      <c r="D38" s="272"/>
      <c r="E38" s="272">
        <v>1168</v>
      </c>
      <c r="F38" s="265"/>
      <c r="G38" s="266">
        <v>468</v>
      </c>
      <c r="H38" s="266">
        <v>0</v>
      </c>
      <c r="I38" s="266">
        <v>468</v>
      </c>
      <c r="J38" s="267">
        <v>468</v>
      </c>
      <c r="K38" s="267"/>
      <c r="L38" s="267"/>
      <c r="M38" s="267"/>
      <c r="N38" s="267">
        <v>468</v>
      </c>
      <c r="O38" s="267">
        <v>468</v>
      </c>
      <c r="P38" s="267"/>
      <c r="Q38" s="265"/>
      <c r="R38" s="268">
        <f t="shared" si="1"/>
        <v>40.06849315068493</v>
      </c>
      <c r="S38" s="268"/>
      <c r="T38" s="268">
        <f t="shared" si="2"/>
        <v>40.06849315068493</v>
      </c>
      <c r="U38" s="248"/>
    </row>
  </sheetData>
  <mergeCells count="28">
    <mergeCell ref="S1:U1"/>
    <mergeCell ref="R6:R8"/>
    <mergeCell ref="S6:T6"/>
    <mergeCell ref="U6:U8"/>
    <mergeCell ref="J7:J8"/>
    <mergeCell ref="K7:M7"/>
    <mergeCell ref="N7:P7"/>
    <mergeCell ref="S7:S8"/>
    <mergeCell ref="T7:T8"/>
    <mergeCell ref="A3:U3"/>
    <mergeCell ref="N4:Q4"/>
    <mergeCell ref="R4:U4"/>
    <mergeCell ref="C5:F5"/>
    <mergeCell ref="G5:Q5"/>
    <mergeCell ref="R5:U5"/>
    <mergeCell ref="F6:F8"/>
    <mergeCell ref="Q6:Q8"/>
    <mergeCell ref="A5:A8"/>
    <mergeCell ref="B5:B8"/>
    <mergeCell ref="C6:C8"/>
    <mergeCell ref="D6:E6"/>
    <mergeCell ref="D7:D8"/>
    <mergeCell ref="E7:E8"/>
    <mergeCell ref="H7:H8"/>
    <mergeCell ref="I7:I8"/>
    <mergeCell ref="G6:G8"/>
    <mergeCell ref="H6:I6"/>
    <mergeCell ref="J6:P6"/>
  </mergeCells>
  <printOptions horizontalCentered="1"/>
  <pageMargins left="0.44" right="0.15748031496063" top="0.47244094488188998" bottom="0.39370078740157499" header="0.31496062992126" footer="0.31496062992126"/>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09B600-A05D-4248-B65B-6DE3743B16DD}">
  <ds:schemaRefs>
    <ds:schemaRef ds:uri="http://schemas.microsoft.com/sharepoint/v3/contenttype/forms"/>
  </ds:schemaRefs>
</ds:datastoreItem>
</file>

<file path=customXml/itemProps2.xml><?xml version="1.0" encoding="utf-8"?>
<ds:datastoreItem xmlns:ds="http://schemas.openxmlformats.org/officeDocument/2006/customXml" ds:itemID="{EC98319E-5547-439F-9638-A999DAC97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62</vt:lpstr>
      <vt:lpstr>63</vt:lpstr>
      <vt:lpstr>64</vt:lpstr>
      <vt:lpstr>65</vt:lpstr>
      <vt:lpstr>66</vt:lpstr>
      <vt:lpstr>67</vt:lpstr>
      <vt:lpstr>68</vt:lpstr>
      <vt:lpstr>'63'!Print_Titles</vt:lpstr>
      <vt:lpstr>'64'!Print_Titles</vt:lpstr>
      <vt:lpstr>'65'!Print_Titles</vt:lpstr>
      <vt:lpstr>'68'!Print_Titles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2022-12-27T08:53:49Z</cp:lastPrinted>
  <dcterms:created xsi:type="dcterms:W3CDTF">2018-08-22T07:49:45Z</dcterms:created>
  <dcterms:modified xsi:type="dcterms:W3CDTF">2022-12-27T09:09:34Z</dcterms:modified>
</cp:coreProperties>
</file>