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25" windowWidth="14805" windowHeight="7290"/>
  </bookViews>
  <sheets>
    <sheet name="Tháng 1.2023" sheetId="36" r:id="rId1"/>
    <sheet name="Sheet1" sheetId="26" r:id="rId2"/>
  </sheets>
  <calcPr calcId="162913"/>
</workbook>
</file>

<file path=xl/calcChain.xml><?xml version="1.0" encoding="utf-8"?>
<calcChain xmlns="http://schemas.openxmlformats.org/spreadsheetml/2006/main">
  <c r="M13" i="36" l="1"/>
  <c r="M12" i="36" s="1"/>
  <c r="J12" i="36"/>
  <c r="O13" i="36"/>
  <c r="G13" i="36" l="1"/>
  <c r="K17" i="36" l="1"/>
  <c r="O17" i="36" s="1"/>
  <c r="K18" i="36"/>
  <c r="O18" i="36" s="1"/>
  <c r="E17" i="36" l="1"/>
  <c r="D17" i="36" l="1"/>
  <c r="G12" i="36" l="1"/>
  <c r="D12" i="36"/>
  <c r="N13" i="36"/>
  <c r="I13" i="36"/>
  <c r="H13" i="36"/>
  <c r="E16" i="36" l="1"/>
  <c r="K16" i="36"/>
  <c r="E18" i="36"/>
  <c r="I18" i="36" s="1"/>
  <c r="N17" i="36"/>
  <c r="H17" i="36"/>
  <c r="L16" i="36"/>
  <c r="N16" i="36" s="1"/>
  <c r="F16" i="36"/>
  <c r="H16" i="36" s="1"/>
  <c r="L15" i="36"/>
  <c r="O15" i="36" s="1"/>
  <c r="F15" i="36"/>
  <c r="H15" i="36" s="1"/>
  <c r="L14" i="36"/>
  <c r="F14" i="36"/>
  <c r="M11" i="36"/>
  <c r="M10" i="36" s="1"/>
  <c r="M9" i="36" s="1"/>
  <c r="L11" i="36"/>
  <c r="L10" i="36" s="1"/>
  <c r="K10" i="36"/>
  <c r="J10" i="36"/>
  <c r="J9" i="36" s="1"/>
  <c r="I10" i="36"/>
  <c r="H10" i="36"/>
  <c r="G10" i="36"/>
  <c r="G9" i="36" s="1"/>
  <c r="F10" i="36"/>
  <c r="E10" i="36"/>
  <c r="D10" i="36"/>
  <c r="D9" i="36" s="1"/>
  <c r="O14" i="36" l="1"/>
  <c r="L12" i="36"/>
  <c r="K12" i="36"/>
  <c r="O16" i="36"/>
  <c r="N11" i="36"/>
  <c r="N10" i="36" s="1"/>
  <c r="I15" i="36"/>
  <c r="F12" i="36"/>
  <c r="L9" i="36"/>
  <c r="I16" i="36"/>
  <c r="E12" i="36"/>
  <c r="K9" i="36"/>
  <c r="O11" i="36"/>
  <c r="O10" i="36" s="1"/>
  <c r="N14" i="36"/>
  <c r="H14" i="36"/>
  <c r="H12" i="36" s="1"/>
  <c r="H9" i="36" s="1"/>
  <c r="F9" i="36"/>
  <c r="I14" i="36"/>
  <c r="I12" i="36" s="1"/>
  <c r="N15" i="36"/>
  <c r="I17" i="36"/>
  <c r="E9" i="36"/>
  <c r="N12" i="36" l="1"/>
  <c r="O12" i="36"/>
  <c r="O9" i="36" s="1"/>
  <c r="I9" i="36"/>
  <c r="N9" i="36"/>
</calcChain>
</file>

<file path=xl/sharedStrings.xml><?xml version="1.0" encoding="utf-8"?>
<sst xmlns="http://schemas.openxmlformats.org/spreadsheetml/2006/main" count="45" uniqueCount="34">
  <si>
    <t>Nội dung</t>
  </si>
  <si>
    <t>Vay trong kỳ</t>
  </si>
  <si>
    <t>Gốc</t>
  </si>
  <si>
    <t>Tổng</t>
  </si>
  <si>
    <t>Trả nợ trong kỳ</t>
  </si>
  <si>
    <t>Dự án REII</t>
  </si>
  <si>
    <t xml:space="preserve">Chương trình đô thị miền núi phía Bắc </t>
  </si>
  <si>
    <t>Lãi/Phí</t>
  </si>
  <si>
    <t>Dự án mở rộng bệnh viện đa khoa tỉnh Hòa Bình</t>
  </si>
  <si>
    <t>Dự án sửa chữa và nâng cao an toàn đập (WB8)</t>
  </si>
  <si>
    <t xml:space="preserve">Dư nợ đầu kỳ      </t>
  </si>
  <si>
    <t>Chương trình mở rộng quy mô vệ sinh nước sạch nông thôn dựa trên kết quả</t>
  </si>
  <si>
    <t>STT</t>
  </si>
  <si>
    <t>a</t>
  </si>
  <si>
    <t>b</t>
  </si>
  <si>
    <t>6=1+2-3</t>
  </si>
  <si>
    <t>Vay Ngân hàng phát triển Việt Nam</t>
  </si>
  <si>
    <t>Vay lại nguồn vay nước ngoài của Chính phủ</t>
  </si>
  <si>
    <t>Dư nợ cuối kỳ</t>
  </si>
  <si>
    <t>Mẫu biểu số 01</t>
  </si>
  <si>
    <t>Dự án đầu tư xây dựng và phát triển hệ thống cung ứng dịch vụ y tế tuyến cơ sở</t>
  </si>
  <si>
    <t>(ngày 01 tháng 01)</t>
  </si>
  <si>
    <t>Ngoại tệ</t>
  </si>
  <si>
    <t>Đồng tiền vay</t>
  </si>
  <si>
    <t>USD</t>
  </si>
  <si>
    <t>SAR</t>
  </si>
  <si>
    <t>Quy ra Việt Nam đồng (Triệu đồng)</t>
  </si>
  <si>
    <t>Đơn vị: triệu đồng</t>
  </si>
  <si>
    <t>(ngày 31 tháng 12)</t>
  </si>
  <si>
    <t>BÁO CÁO TÌNH HÌNH VAY VÀ TRẢ NỢ CỦA CHÍNH QUYỀN ĐỊA PHƯƠNG NĂM 2022</t>
  </si>
  <si>
    <t>Dự án xây dựng và nâng cấp hạ tầng du lịch khu di tích Chùa Tiên, xã Phú Lão, huyện Lạc Thủy tỉnh Hòa Bình</t>
  </si>
  <si>
    <t>(Kèm theo Công văn số         /STC-QLNS ngày        /02/2023 của Sở Tài chính)</t>
  </si>
  <si>
    <t xml:space="preserve">Dư nợ đầu kỳ (ngày 01/01)     </t>
  </si>
  <si>
    <t>Dư nợ cuối kỳ (Ngày 31/12)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</si>
</sst>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5" fontId="8" fillId="2" borderId="2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65" fontId="8" fillId="2" borderId="3" xfId="1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0" fontId="8" fillId="2" borderId="1" xfId="0" applyFont="1" applyFill="1" applyBorder="1" applyAlignment="1">
      <alignment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3" fontId="2" fillId="2" borderId="0" xfId="0" applyNumberFormat="1" applyFont="1" applyFill="1"/>
    <xf numFmtId="3" fontId="2" fillId="2" borderId="0" xfId="0" applyNumberFormat="1" applyFont="1" applyFill="1" applyAlignment="1">
      <alignment vertical="center"/>
    </xf>
    <xf numFmtId="164" fontId="3" fillId="2" borderId="1" xfId="2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165" fontId="9" fillId="2" borderId="0" xfId="1" applyNumberFormat="1" applyFont="1" applyFill="1" applyAlignment="1">
      <alignment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 vertical="center" wrapText="1"/>
    </xf>
    <xf numFmtId="165" fontId="8" fillId="2" borderId="3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omma 4 2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13" zoomScale="80" zoomScaleNormal="80" workbookViewId="0">
      <selection activeCell="L11" sqref="L11"/>
    </sheetView>
  </sheetViews>
  <sheetFormatPr defaultColWidth="9" defaultRowHeight="15" outlineLevelRow="1" outlineLevelCol="1" x14ac:dyDescent="0.25"/>
  <cols>
    <col min="1" max="1" width="6.28515625" style="5" customWidth="1"/>
    <col min="2" max="2" width="48.140625" style="6" customWidth="1"/>
    <col min="3" max="3" width="6.42578125" style="6" hidden="1" customWidth="1" outlineLevel="1"/>
    <col min="4" max="4" width="17.7109375" style="7" hidden="1" customWidth="1" outlineLevel="1"/>
    <col min="5" max="5" width="12.140625" style="7" hidden="1" customWidth="1" outlineLevel="1"/>
    <col min="6" max="6" width="13.42578125" style="7" hidden="1" customWidth="1" outlineLevel="1"/>
    <col min="7" max="7" width="13.140625" style="7" hidden="1" customWidth="1" outlineLevel="1"/>
    <col min="8" max="8" width="11.7109375" style="7" hidden="1" customWidth="1" outlineLevel="1"/>
    <col min="9" max="9" width="13.42578125" style="7" hidden="1" customWidth="1" outlineLevel="1"/>
    <col min="10" max="10" width="11.5703125" style="6" customWidth="1" collapsed="1"/>
    <col min="11" max="11" width="9.140625" style="6" customWidth="1"/>
    <col min="12" max="12" width="9.28515625" style="6" customWidth="1"/>
    <col min="13" max="13" width="7.85546875" style="6" customWidth="1"/>
    <col min="14" max="14" width="9.5703125" style="6" customWidth="1"/>
    <col min="15" max="15" width="15.5703125" style="6" customWidth="1"/>
    <col min="16" max="16" width="9" style="6"/>
    <col min="17" max="17" width="13.7109375" style="6" bestFit="1" customWidth="1"/>
    <col min="18" max="18" width="14.7109375" style="6" customWidth="1"/>
    <col min="19" max="16384" width="9" style="6"/>
  </cols>
  <sheetData>
    <row r="1" spans="1:19" x14ac:dyDescent="0.25">
      <c r="N1" s="43" t="s">
        <v>19</v>
      </c>
      <c r="O1" s="43"/>
    </row>
    <row r="2" spans="1:19" s="8" customFormat="1" ht="18.75" x14ac:dyDescent="0.25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9" s="8" customFormat="1" ht="16.5" x14ac:dyDescent="0.25">
      <c r="A3" s="45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9" x14ac:dyDescent="0.25">
      <c r="M4" s="46" t="s">
        <v>27</v>
      </c>
      <c r="N4" s="46"/>
      <c r="O4" s="46"/>
    </row>
    <row r="5" spans="1:19" s="11" customFormat="1" ht="21.75" hidden="1" customHeight="1" outlineLevel="1" x14ac:dyDescent="0.25">
      <c r="A5" s="9"/>
      <c r="B5" s="10"/>
      <c r="C5" s="37" t="s">
        <v>22</v>
      </c>
      <c r="D5" s="37"/>
      <c r="E5" s="37"/>
      <c r="F5" s="37"/>
      <c r="G5" s="37"/>
      <c r="H5" s="37"/>
      <c r="I5" s="37"/>
      <c r="J5" s="38" t="s">
        <v>26</v>
      </c>
      <c r="K5" s="38"/>
      <c r="L5" s="38"/>
      <c r="M5" s="38"/>
      <c r="N5" s="38"/>
      <c r="O5" s="38"/>
    </row>
    <row r="6" spans="1:19" s="13" customFormat="1" ht="21" customHeight="1" collapsed="1" x14ac:dyDescent="0.25">
      <c r="A6" s="38" t="s">
        <v>12</v>
      </c>
      <c r="B6" s="39" t="s">
        <v>0</v>
      </c>
      <c r="C6" s="40" t="s">
        <v>23</v>
      </c>
      <c r="D6" s="12" t="s">
        <v>10</v>
      </c>
      <c r="E6" s="42" t="s">
        <v>1</v>
      </c>
      <c r="F6" s="37" t="s">
        <v>4</v>
      </c>
      <c r="G6" s="37"/>
      <c r="H6" s="37"/>
      <c r="I6" s="12" t="s">
        <v>18</v>
      </c>
      <c r="J6" s="47" t="s">
        <v>32</v>
      </c>
      <c r="K6" s="42" t="s">
        <v>1</v>
      </c>
      <c r="L6" s="37" t="s">
        <v>4</v>
      </c>
      <c r="M6" s="37"/>
      <c r="N6" s="37"/>
      <c r="O6" s="47" t="s">
        <v>33</v>
      </c>
    </row>
    <row r="7" spans="1:19" s="13" customFormat="1" ht="30.75" customHeight="1" x14ac:dyDescent="0.25">
      <c r="A7" s="38"/>
      <c r="B7" s="39"/>
      <c r="C7" s="41"/>
      <c r="D7" s="14" t="s">
        <v>21</v>
      </c>
      <c r="E7" s="42"/>
      <c r="F7" s="15" t="s">
        <v>2</v>
      </c>
      <c r="G7" s="15" t="s">
        <v>7</v>
      </c>
      <c r="H7" s="15" t="s">
        <v>3</v>
      </c>
      <c r="I7" s="14" t="s">
        <v>28</v>
      </c>
      <c r="J7" s="48"/>
      <c r="K7" s="42"/>
      <c r="L7" s="15" t="s">
        <v>2</v>
      </c>
      <c r="M7" s="15" t="s">
        <v>7</v>
      </c>
      <c r="N7" s="15" t="s">
        <v>3</v>
      </c>
      <c r="O7" s="48"/>
    </row>
    <row r="8" spans="1:19" s="13" customFormat="1" ht="30.75" customHeight="1" x14ac:dyDescent="0.25">
      <c r="A8" s="9" t="s">
        <v>13</v>
      </c>
      <c r="B8" s="16" t="s">
        <v>14</v>
      </c>
      <c r="C8" s="17"/>
      <c r="D8" s="18">
        <v>1</v>
      </c>
      <c r="E8" s="19">
        <v>2</v>
      </c>
      <c r="F8" s="19">
        <v>3</v>
      </c>
      <c r="G8" s="19">
        <v>4</v>
      </c>
      <c r="H8" s="19">
        <v>5</v>
      </c>
      <c r="I8" s="14" t="s">
        <v>15</v>
      </c>
      <c r="J8" s="18">
        <v>1</v>
      </c>
      <c r="K8" s="19">
        <v>2</v>
      </c>
      <c r="L8" s="19">
        <v>3</v>
      </c>
      <c r="M8" s="19">
        <v>4</v>
      </c>
      <c r="N8" s="19">
        <v>5</v>
      </c>
      <c r="O8" s="14" t="s">
        <v>15</v>
      </c>
    </row>
    <row r="9" spans="1:19" s="21" customFormat="1" ht="30.75" customHeight="1" x14ac:dyDescent="0.25">
      <c r="A9" s="9"/>
      <c r="B9" s="16" t="s">
        <v>3</v>
      </c>
      <c r="C9" s="16"/>
      <c r="D9" s="20">
        <f>D10+D12</f>
        <v>10655506.337818624</v>
      </c>
      <c r="E9" s="20">
        <f t="shared" ref="E9:I9" si="0">E10+E12</f>
        <v>1480612.0870000001</v>
      </c>
      <c r="F9" s="20">
        <f t="shared" si="0"/>
        <v>846829.978</v>
      </c>
      <c r="G9" s="20">
        <f t="shared" si="0"/>
        <v>217758.76</v>
      </c>
      <c r="H9" s="20">
        <f t="shared" si="0"/>
        <v>1064588.7379999999</v>
      </c>
      <c r="I9" s="20">
        <f t="shared" si="0"/>
        <v>11289288.446818622</v>
      </c>
      <c r="J9" s="20">
        <f>J10+J12</f>
        <v>239632.97651515005</v>
      </c>
      <c r="K9" s="20">
        <f t="shared" ref="K9:O9" si="1">K10+K12</f>
        <v>34573.077612950001</v>
      </c>
      <c r="L9" s="20">
        <f t="shared" si="1"/>
        <v>24481.020521999999</v>
      </c>
      <c r="M9" s="20">
        <f t="shared" si="1"/>
        <v>3836.4982930000001</v>
      </c>
      <c r="N9" s="20">
        <f t="shared" si="1"/>
        <v>28317.518814999999</v>
      </c>
      <c r="O9" s="20">
        <f t="shared" si="1"/>
        <v>249725.03360610004</v>
      </c>
      <c r="R9" s="22"/>
    </row>
    <row r="10" spans="1:19" s="21" customFormat="1" ht="30" customHeight="1" x14ac:dyDescent="0.25">
      <c r="A10" s="9">
        <v>1</v>
      </c>
      <c r="B10" s="23" t="s">
        <v>16</v>
      </c>
      <c r="C10" s="23"/>
      <c r="D10" s="24">
        <f>D11</f>
        <v>0</v>
      </c>
      <c r="E10" s="24">
        <f t="shared" ref="E10:I10" si="2">E11</f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24">
        <f t="shared" si="2"/>
        <v>0</v>
      </c>
      <c r="J10" s="24">
        <f>J11</f>
        <v>110384.39689200002</v>
      </c>
      <c r="K10" s="24">
        <f t="shared" ref="K10:O10" si="3">K11</f>
        <v>0</v>
      </c>
      <c r="L10" s="24">
        <f t="shared" si="3"/>
        <v>13577.674164</v>
      </c>
      <c r="M10" s="24">
        <f t="shared" si="3"/>
        <v>1119.175135</v>
      </c>
      <c r="N10" s="24">
        <f t="shared" si="3"/>
        <v>14696.849299</v>
      </c>
      <c r="O10" s="24">
        <f t="shared" si="3"/>
        <v>96806.722728000022</v>
      </c>
    </row>
    <row r="11" spans="1:19" s="11" customFormat="1" ht="20.25" customHeight="1" x14ac:dyDescent="0.25">
      <c r="A11" s="9"/>
      <c r="B11" s="10" t="s">
        <v>5</v>
      </c>
      <c r="C11" s="10"/>
      <c r="D11" s="2"/>
      <c r="E11" s="2"/>
      <c r="F11" s="25"/>
      <c r="G11" s="2"/>
      <c r="H11" s="2"/>
      <c r="I11" s="2"/>
      <c r="J11" s="2">
        <v>110384.39689200002</v>
      </c>
      <c r="K11" s="2"/>
      <c r="L11" s="25">
        <f>3938.223531+9639.450633</f>
        <v>13577.674164</v>
      </c>
      <c r="M11" s="2">
        <f>191.660212+47.915053+703.679896+175.919974</f>
        <v>1119.175135</v>
      </c>
      <c r="N11" s="2">
        <f>L11+M11</f>
        <v>14696.849299</v>
      </c>
      <c r="O11" s="2">
        <f>J11+K11-L11</f>
        <v>96806.722728000022</v>
      </c>
    </row>
    <row r="12" spans="1:19" s="11" customFormat="1" ht="29.25" customHeight="1" x14ac:dyDescent="0.25">
      <c r="A12" s="9">
        <v>2</v>
      </c>
      <c r="B12" s="23" t="s">
        <v>17</v>
      </c>
      <c r="C12" s="23"/>
      <c r="D12" s="24">
        <f>SUM(D13:D18)</f>
        <v>10655506.337818624</v>
      </c>
      <c r="E12" s="24">
        <f t="shared" ref="E12:H12" si="4">SUM(E13:E18)</f>
        <v>1480612.0870000001</v>
      </c>
      <c r="F12" s="24">
        <f t="shared" si="4"/>
        <v>846829.978</v>
      </c>
      <c r="G12" s="24">
        <f t="shared" si="4"/>
        <v>217758.76</v>
      </c>
      <c r="H12" s="24">
        <f t="shared" si="4"/>
        <v>1064588.7379999999</v>
      </c>
      <c r="I12" s="24">
        <f>SUM(I13:I18)</f>
        <v>11289288.446818622</v>
      </c>
      <c r="J12" s="24">
        <f t="shared" ref="J12:O12" si="5">SUM(J13:J18)</f>
        <v>129248.57962315003</v>
      </c>
      <c r="K12" s="24">
        <f t="shared" si="5"/>
        <v>34573.077612950001</v>
      </c>
      <c r="L12" s="24">
        <f t="shared" si="5"/>
        <v>10903.346358000001</v>
      </c>
      <c r="M12" s="24">
        <f t="shared" si="5"/>
        <v>2717.3231580000001</v>
      </c>
      <c r="N12" s="24">
        <f t="shared" si="5"/>
        <v>13620.669516</v>
      </c>
      <c r="O12" s="24">
        <f t="shared" si="5"/>
        <v>152918.31087810002</v>
      </c>
    </row>
    <row r="13" spans="1:19" s="21" customFormat="1" ht="24" customHeight="1" x14ac:dyDescent="0.25">
      <c r="A13" s="26"/>
      <c r="B13" s="27" t="s">
        <v>6</v>
      </c>
      <c r="C13" s="27" t="s">
        <v>24</v>
      </c>
      <c r="D13" s="2">
        <v>2182052.8148858817</v>
      </c>
      <c r="E13" s="2">
        <v>72341.275999999998</v>
      </c>
      <c r="F13" s="2">
        <v>98308</v>
      </c>
      <c r="G13" s="2">
        <f>21941.75+21601.92</f>
        <v>43543.67</v>
      </c>
      <c r="H13" s="2">
        <f>F13+G13</f>
        <v>141851.66999999998</v>
      </c>
      <c r="I13" s="2">
        <f>D13+E13-F13</f>
        <v>2156086.0908858818</v>
      </c>
      <c r="J13" s="2">
        <v>49339.691704500008</v>
      </c>
      <c r="K13" s="2">
        <v>1696.4029222000001</v>
      </c>
      <c r="L13" s="2">
        <v>2294.0663340000001</v>
      </c>
      <c r="M13" s="2">
        <f>511.555071+510.145764</f>
        <v>1021.700835</v>
      </c>
      <c r="N13" s="2">
        <f>L13+M13</f>
        <v>3315.7671690000002</v>
      </c>
      <c r="O13" s="2">
        <f>J13+K13-L13</f>
        <v>48742.028292700008</v>
      </c>
      <c r="Q13" s="28"/>
      <c r="R13" s="6"/>
      <c r="S13" s="6"/>
    </row>
    <row r="14" spans="1:19" s="21" customFormat="1" ht="25.5" customHeight="1" x14ac:dyDescent="0.25">
      <c r="A14" s="26"/>
      <c r="B14" s="27" t="s">
        <v>8</v>
      </c>
      <c r="C14" s="27" t="s">
        <v>25</v>
      </c>
      <c r="D14" s="2">
        <v>6740204.9460000005</v>
      </c>
      <c r="E14" s="2"/>
      <c r="F14" s="2">
        <f>259740*2</f>
        <v>519480</v>
      </c>
      <c r="G14" s="3">
        <v>139288.21</v>
      </c>
      <c r="H14" s="2">
        <f t="shared" ref="H14:H17" si="6">F14+G14</f>
        <v>658768.21</v>
      </c>
      <c r="I14" s="2">
        <f t="shared" ref="I14:I18" si="7">D14+E14-F14</f>
        <v>6220724.9460000005</v>
      </c>
      <c r="J14" s="2">
        <v>40241.684293000006</v>
      </c>
      <c r="K14" s="2"/>
      <c r="L14" s="2">
        <f>1600.77762+1627.53084</f>
        <v>3228.3084600000002</v>
      </c>
      <c r="M14" s="29">
        <v>872.77991199999997</v>
      </c>
      <c r="N14" s="2">
        <f t="shared" ref="N14:N17" si="8">L14+M14</f>
        <v>4101.0883720000002</v>
      </c>
      <c r="O14" s="2">
        <f t="shared" ref="O14:O18" si="9">J14+K14-L14</f>
        <v>37013.375833000006</v>
      </c>
      <c r="Q14" s="11"/>
      <c r="R14" s="34"/>
      <c r="S14" s="34"/>
    </row>
    <row r="15" spans="1:19" s="11" customFormat="1" ht="35.25" customHeight="1" x14ac:dyDescent="0.25">
      <c r="A15" s="26"/>
      <c r="B15" s="27" t="s">
        <v>11</v>
      </c>
      <c r="C15" s="27" t="s">
        <v>24</v>
      </c>
      <c r="D15" s="2">
        <v>521392.81093274045</v>
      </c>
      <c r="E15" s="30">
        <v>147292.111</v>
      </c>
      <c r="F15" s="2">
        <f>27499.989*2</f>
        <v>54999.978000000003</v>
      </c>
      <c r="G15" s="3">
        <v>10293.1</v>
      </c>
      <c r="H15" s="2">
        <f>F15+G15</f>
        <v>65293.078000000001</v>
      </c>
      <c r="I15" s="2">
        <f>D15+E15-F15</f>
        <v>613684.94393274048</v>
      </c>
      <c r="J15" s="2">
        <v>12038.87537905</v>
      </c>
      <c r="K15" s="2">
        <v>3454</v>
      </c>
      <c r="L15" s="2">
        <f>635.579746+684.034727</f>
        <v>1319.6144730000001</v>
      </c>
      <c r="M15" s="3">
        <v>242.49524500000001</v>
      </c>
      <c r="N15" s="2">
        <f>L15+M15</f>
        <v>1562.1097180000002</v>
      </c>
      <c r="O15" s="2">
        <f t="shared" si="9"/>
        <v>14173.26090605</v>
      </c>
      <c r="Q15" s="6"/>
      <c r="R15" s="6"/>
      <c r="S15" s="6"/>
    </row>
    <row r="16" spans="1:19" s="11" customFormat="1" ht="26.25" customHeight="1" x14ac:dyDescent="0.25">
      <c r="A16" s="26"/>
      <c r="B16" s="27" t="s">
        <v>9</v>
      </c>
      <c r="C16" s="27" t="s">
        <v>24</v>
      </c>
      <c r="D16" s="2">
        <v>894431.76599999995</v>
      </c>
      <c r="E16" s="30">
        <f>(740426.93+363248.55)*15%</f>
        <v>165551.32199999999</v>
      </c>
      <c r="F16" s="2">
        <f>87021*2</f>
        <v>174042</v>
      </c>
      <c r="G16" s="3">
        <v>18380.22</v>
      </c>
      <c r="H16" s="2">
        <f t="shared" si="6"/>
        <v>192422.22</v>
      </c>
      <c r="I16" s="2">
        <f t="shared" si="7"/>
        <v>885941.08799999999</v>
      </c>
      <c r="J16" s="2">
        <v>20418.101966599999</v>
      </c>
      <c r="K16" s="2">
        <f>(17000202000+8616255000)*15%/1000000</f>
        <v>3842.4685500000001</v>
      </c>
      <c r="L16" s="2">
        <f>2011.229352+2050.127739</f>
        <v>4061.3570909999999</v>
      </c>
      <c r="M16" s="2">
        <v>433.01953600000002</v>
      </c>
      <c r="N16" s="2">
        <f t="shared" si="8"/>
        <v>4494.3766269999996</v>
      </c>
      <c r="O16" s="2">
        <f t="shared" si="9"/>
        <v>20199.213425599999</v>
      </c>
      <c r="Q16" s="31"/>
      <c r="R16" s="6"/>
      <c r="S16" s="6"/>
    </row>
    <row r="17" spans="1:19" s="11" customFormat="1" ht="34.5" customHeight="1" x14ac:dyDescent="0.25">
      <c r="A17" s="26"/>
      <c r="B17" s="27" t="s">
        <v>20</v>
      </c>
      <c r="C17" s="27" t="s">
        <v>24</v>
      </c>
      <c r="D17" s="3">
        <f>(65987+107945+619628)*40%</f>
        <v>317424</v>
      </c>
      <c r="E17" s="2">
        <f>(999000+629804+955509.12)*40%</f>
        <v>1033725.2480000001</v>
      </c>
      <c r="F17" s="4"/>
      <c r="G17" s="4">
        <v>6253.56</v>
      </c>
      <c r="H17" s="2">
        <f t="shared" si="6"/>
        <v>6253.56</v>
      </c>
      <c r="I17" s="2">
        <f t="shared" si="7"/>
        <v>1351149.2480000001</v>
      </c>
      <c r="J17" s="3">
        <v>7210.2262799999999</v>
      </c>
      <c r="K17" s="2">
        <f>(399600*23112+251921.6*23182+382203.65*23681)/1000000</f>
        <v>24126.566366849998</v>
      </c>
      <c r="L17" s="4"/>
      <c r="M17" s="3">
        <v>147.32763</v>
      </c>
      <c r="N17" s="2">
        <f t="shared" si="8"/>
        <v>147.32763</v>
      </c>
      <c r="O17" s="2">
        <f t="shared" si="9"/>
        <v>31336.792646849997</v>
      </c>
      <c r="Q17" s="6"/>
      <c r="R17" s="6"/>
      <c r="S17" s="6"/>
    </row>
    <row r="18" spans="1:19" ht="47.25" x14ac:dyDescent="0.25">
      <c r="A18" s="26"/>
      <c r="B18" s="1" t="s">
        <v>30</v>
      </c>
      <c r="C18" s="32" t="s">
        <v>24</v>
      </c>
      <c r="D18" s="4"/>
      <c r="E18" s="4">
        <f>48606.89+13095.24</f>
        <v>61702.13</v>
      </c>
      <c r="F18" s="4"/>
      <c r="G18" s="4"/>
      <c r="H18" s="4"/>
      <c r="I18" s="2">
        <f t="shared" si="7"/>
        <v>61702.13</v>
      </c>
      <c r="J18" s="32"/>
      <c r="K18" s="33">
        <f>61702.1*23559/1000000</f>
        <v>1453.6397738999999</v>
      </c>
      <c r="L18" s="32"/>
      <c r="M18" s="32"/>
      <c r="N18" s="32"/>
      <c r="O18" s="2">
        <f t="shared" si="9"/>
        <v>1453.6397738999999</v>
      </c>
      <c r="Q18" s="34"/>
    </row>
    <row r="19" spans="1:19" ht="19.5" customHeight="1" x14ac:dyDescent="0.25"/>
    <row r="20" spans="1:19" s="34" customFormat="1" ht="18.75" customHeight="1" x14ac:dyDescent="0.25">
      <c r="A20" s="35"/>
      <c r="D20" s="36"/>
      <c r="E20" s="36"/>
      <c r="F20" s="36"/>
      <c r="G20" s="36"/>
      <c r="H20" s="36"/>
      <c r="I20" s="36"/>
      <c r="Q20" s="6"/>
      <c r="R20" s="6"/>
      <c r="S20" s="6"/>
    </row>
    <row r="21" spans="1:19" x14ac:dyDescent="0.25">
      <c r="G21" s="36"/>
    </row>
    <row r="22" spans="1:19" x14ac:dyDescent="0.25">
      <c r="G22" s="36"/>
    </row>
    <row r="23" spans="1:19" x14ac:dyDescent="0.25">
      <c r="G23" s="36"/>
    </row>
    <row r="24" spans="1:19" ht="18.75" customHeight="1" x14ac:dyDescent="0.25">
      <c r="G24" s="36"/>
    </row>
    <row r="25" spans="1:19" ht="15.75" customHeight="1" x14ac:dyDescent="0.25">
      <c r="G25" s="36"/>
    </row>
    <row r="26" spans="1:19" x14ac:dyDescent="0.25">
      <c r="G26" s="36"/>
    </row>
    <row r="27" spans="1:19" ht="27" customHeight="1" x14ac:dyDescent="0.25"/>
    <row r="28" spans="1:19" ht="29.25" customHeight="1" x14ac:dyDescent="0.25"/>
  </sheetData>
  <mergeCells count="15">
    <mergeCell ref="O6:O7"/>
    <mergeCell ref="N1:O1"/>
    <mergeCell ref="A2:O2"/>
    <mergeCell ref="A3:O3"/>
    <mergeCell ref="M4:O4"/>
    <mergeCell ref="C5:I5"/>
    <mergeCell ref="J5:O5"/>
    <mergeCell ref="L6:N6"/>
    <mergeCell ref="A6:A7"/>
    <mergeCell ref="B6:B7"/>
    <mergeCell ref="C6:C7"/>
    <mergeCell ref="E6:E7"/>
    <mergeCell ref="F6:H6"/>
    <mergeCell ref="K6:K7"/>
    <mergeCell ref="J6:J7"/>
  </mergeCells>
  <pageMargins left="0.7" right="0.45" top="0.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Tháng 1.2023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2023-02-23T01:48:53Z</dcterms:modified>
</cp:coreProperties>
</file>