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825" windowWidth="14805" windowHeight="7290"/>
  </bookViews>
  <sheets>
    <sheet name="Biểu 02" sheetId="19" r:id="rId1"/>
    <sheet name="Biểu 01" sheetId="18" r:id="rId2"/>
    <sheet name="2.04" sheetId="20" r:id="rId3"/>
  </sheets>
  <externalReferences>
    <externalReference r:id="rId4"/>
  </externalReferences>
  <definedNames>
    <definedName name="_xlnm.Print_Titles" localSheetId="2">'2.04'!$8:$9</definedName>
    <definedName name="_xlnm.Print_Titles" localSheetId="1">'Biểu 01'!$6:$10</definedName>
  </definedNames>
  <calcPr calcId="162913"/>
</workbook>
</file>

<file path=xl/calcChain.xml><?xml version="1.0" encoding="utf-8"?>
<calcChain xmlns="http://schemas.openxmlformats.org/spreadsheetml/2006/main">
  <c r="H24" i="18" l="1"/>
  <c r="I24" i="18"/>
  <c r="K24" i="18"/>
  <c r="L24" i="18"/>
  <c r="M24" i="18"/>
  <c r="O24" i="18"/>
  <c r="P24" i="18"/>
  <c r="Q24" i="18"/>
  <c r="S24" i="18"/>
  <c r="T24" i="18"/>
  <c r="U24" i="18"/>
  <c r="W24" i="18"/>
  <c r="Z24" i="18"/>
  <c r="D24" i="18"/>
  <c r="I12" i="18"/>
  <c r="I11" i="18" s="1"/>
  <c r="K12" i="18"/>
  <c r="K11" i="18" s="1"/>
  <c r="M12" i="18"/>
  <c r="M11" i="18" s="1"/>
  <c r="O12" i="18"/>
  <c r="O11" i="18" s="1"/>
  <c r="Q12" i="18"/>
  <c r="Q11" i="18" s="1"/>
  <c r="S12" i="18"/>
  <c r="S11" i="18" s="1"/>
  <c r="U12" i="18"/>
  <c r="W12" i="18"/>
  <c r="W11" i="18" s="1"/>
  <c r="Y12" i="18"/>
  <c r="AA12" i="18"/>
  <c r="U11" i="18" l="1"/>
  <c r="V18" i="20" l="1"/>
  <c r="R18" i="20"/>
  <c r="N18" i="20"/>
  <c r="J18" i="20"/>
  <c r="F18" i="20" l="1"/>
  <c r="U22" i="20" l="1"/>
  <c r="X28" i="18"/>
  <c r="AA27" i="18"/>
  <c r="U23" i="20" s="1"/>
  <c r="Y27" i="18"/>
  <c r="AA25" i="18"/>
  <c r="U21" i="20" s="1"/>
  <c r="Y25" i="18"/>
  <c r="AA28" i="18" l="1"/>
  <c r="U24" i="20" s="1"/>
  <c r="X24" i="18"/>
  <c r="AA24" i="18"/>
  <c r="AA11" i="18" s="1"/>
  <c r="Y28" i="18"/>
  <c r="Y24" i="18" s="1"/>
  <c r="Y11" i="18" s="1"/>
  <c r="V16" i="20" l="1"/>
  <c r="V15" i="20"/>
  <c r="V14" i="20"/>
  <c r="U14" i="20"/>
  <c r="U15" i="20"/>
  <c r="U16" i="20"/>
  <c r="U17" i="20"/>
  <c r="U18" i="20"/>
  <c r="U19" i="20"/>
  <c r="U13" i="20"/>
  <c r="V20" i="20"/>
  <c r="U20" i="20"/>
  <c r="V17" i="20"/>
  <c r="V13" i="20"/>
  <c r="V12" i="20"/>
  <c r="V11" i="20" s="1"/>
  <c r="Q14" i="20"/>
  <c r="Q15" i="20"/>
  <c r="Q16" i="20"/>
  <c r="Q17" i="20"/>
  <c r="Q18" i="20"/>
  <c r="Q19" i="20"/>
  <c r="Q21" i="20"/>
  <c r="Q22" i="20"/>
  <c r="Q23" i="20"/>
  <c r="Q24" i="20"/>
  <c r="Q13" i="20"/>
  <c r="M14" i="20"/>
  <c r="M15" i="20"/>
  <c r="M16" i="20"/>
  <c r="M17" i="20"/>
  <c r="M18" i="20"/>
  <c r="M19" i="20"/>
  <c r="M13" i="20"/>
  <c r="I14" i="20"/>
  <c r="I15" i="20"/>
  <c r="I16" i="20"/>
  <c r="I17" i="20"/>
  <c r="I18" i="20"/>
  <c r="I19" i="20"/>
  <c r="I13" i="20"/>
  <c r="E14" i="20"/>
  <c r="E15" i="20"/>
  <c r="H15" i="20" s="1"/>
  <c r="E16" i="20"/>
  <c r="H16" i="20" s="1"/>
  <c r="E17" i="20"/>
  <c r="G17" i="20" s="1"/>
  <c r="E18" i="20"/>
  <c r="E19" i="20"/>
  <c r="E13" i="20"/>
  <c r="H13" i="20" s="1"/>
  <c r="M24" i="20"/>
  <c r="O24" i="20" s="1"/>
  <c r="L24" i="20"/>
  <c r="M23" i="20"/>
  <c r="O23" i="20" s="1"/>
  <c r="L23" i="20"/>
  <c r="M22" i="20"/>
  <c r="M20" i="20" s="1"/>
  <c r="L22" i="20"/>
  <c r="M21" i="20"/>
  <c r="I21" i="20"/>
  <c r="L21" i="20" s="1"/>
  <c r="R20" i="20"/>
  <c r="N20" i="20"/>
  <c r="J20" i="20"/>
  <c r="I20" i="20"/>
  <c r="H20" i="20"/>
  <c r="G20" i="20"/>
  <c r="F20" i="20"/>
  <c r="E20" i="20"/>
  <c r="D20" i="20"/>
  <c r="R17" i="20"/>
  <c r="J16" i="20"/>
  <c r="N16" i="20" s="1"/>
  <c r="R16" i="20" s="1"/>
  <c r="F16" i="20"/>
  <c r="R15" i="20"/>
  <c r="J14" i="20"/>
  <c r="N14" i="20" s="1"/>
  <c r="R14" i="20" s="1"/>
  <c r="F14" i="20"/>
  <c r="D14" i="20"/>
  <c r="G14" i="20" s="1"/>
  <c r="F13" i="20"/>
  <c r="J13" i="20" s="1"/>
  <c r="F12" i="20"/>
  <c r="F11" i="20" s="1"/>
  <c r="P24" i="20" l="1"/>
  <c r="Q20" i="20"/>
  <c r="Q12" i="20"/>
  <c r="H17" i="20"/>
  <c r="L17" i="20" s="1"/>
  <c r="P17" i="20" s="1"/>
  <c r="H19" i="20"/>
  <c r="G19" i="20"/>
  <c r="H18" i="20"/>
  <c r="G18" i="20"/>
  <c r="P22" i="20"/>
  <c r="P23" i="20"/>
  <c r="Q11" i="20"/>
  <c r="O22" i="20"/>
  <c r="I12" i="20"/>
  <c r="I11" i="20" s="1"/>
  <c r="M12" i="20"/>
  <c r="M11" i="20" s="1"/>
  <c r="L16" i="20"/>
  <c r="P16" i="20" s="1"/>
  <c r="K16" i="20"/>
  <c r="E12" i="20"/>
  <c r="E11" i="20" s="1"/>
  <c r="G16" i="20"/>
  <c r="U12" i="20"/>
  <c r="U11" i="20" s="1"/>
  <c r="T22" i="20"/>
  <c r="T23" i="20"/>
  <c r="S23" i="20"/>
  <c r="L20" i="20"/>
  <c r="P21" i="20"/>
  <c r="O21" i="20"/>
  <c r="L13" i="20"/>
  <c r="K13" i="20"/>
  <c r="K15" i="20"/>
  <c r="L15" i="20"/>
  <c r="N13" i="20"/>
  <c r="J12" i="20"/>
  <c r="J11" i="20" s="1"/>
  <c r="S24" i="20"/>
  <c r="T24" i="20"/>
  <c r="X24" i="20" s="1"/>
  <c r="H14" i="20"/>
  <c r="K21" i="20"/>
  <c r="K20" i="20" s="1"/>
  <c r="G13" i="20"/>
  <c r="G15" i="20"/>
  <c r="S22" i="20"/>
  <c r="D12" i="20"/>
  <c r="D11" i="20" s="1"/>
  <c r="K17" i="20" l="1"/>
  <c r="O17" i="20"/>
  <c r="K19" i="20"/>
  <c r="L19" i="20"/>
  <c r="L18" i="20"/>
  <c r="K18" i="20"/>
  <c r="X23" i="20"/>
  <c r="W23" i="20"/>
  <c r="W22" i="20"/>
  <c r="X22" i="20"/>
  <c r="O20" i="20"/>
  <c r="W24" i="20"/>
  <c r="O16" i="20"/>
  <c r="G12" i="20"/>
  <c r="G11" i="20" s="1"/>
  <c r="T17" i="20"/>
  <c r="S17" i="20"/>
  <c r="L14" i="20"/>
  <c r="K14" i="20"/>
  <c r="K12" i="20" s="1"/>
  <c r="K11" i="20" s="1"/>
  <c r="R13" i="20"/>
  <c r="R12" i="20" s="1"/>
  <c r="R11" i="20" s="1"/>
  <c r="N12" i="20"/>
  <c r="N11" i="20" s="1"/>
  <c r="P15" i="20"/>
  <c r="O15" i="20"/>
  <c r="T21" i="20"/>
  <c r="S21" i="20"/>
  <c r="S20" i="20" s="1"/>
  <c r="P20" i="20"/>
  <c r="P13" i="20"/>
  <c r="O13" i="20"/>
  <c r="T16" i="20"/>
  <c r="S16" i="20"/>
  <c r="H12" i="20"/>
  <c r="H11" i="20" s="1"/>
  <c r="L12" i="20" l="1"/>
  <c r="L11" i="20" s="1"/>
  <c r="O18" i="20"/>
  <c r="P18" i="20"/>
  <c r="P19" i="20"/>
  <c r="O19" i="20"/>
  <c r="T20" i="20"/>
  <c r="W21" i="20"/>
  <c r="W20" i="20" s="1"/>
  <c r="X21" i="20"/>
  <c r="X20" i="20" s="1"/>
  <c r="X17" i="20"/>
  <c r="W17" i="20"/>
  <c r="X16" i="20"/>
  <c r="W16" i="20"/>
  <c r="T15" i="20"/>
  <c r="S15" i="20"/>
  <c r="O14" i="20"/>
  <c r="P14" i="20"/>
  <c r="P12" i="20" s="1"/>
  <c r="P11" i="20" s="1"/>
  <c r="T13" i="20"/>
  <c r="S13" i="20"/>
  <c r="S19" i="20" l="1"/>
  <c r="T19" i="20"/>
  <c r="T18" i="20"/>
  <c r="S18" i="20"/>
  <c r="O12" i="20"/>
  <c r="O11" i="20" s="1"/>
  <c r="W15" i="20"/>
  <c r="X15" i="20"/>
  <c r="W13" i="20"/>
  <c r="X13" i="20"/>
  <c r="S14" i="20"/>
  <c r="T14" i="20"/>
  <c r="S12" i="20" l="1"/>
  <c r="S11" i="20" s="1"/>
  <c r="W18" i="20"/>
  <c r="X18" i="20"/>
  <c r="W19" i="20"/>
  <c r="X19" i="20"/>
  <c r="T12" i="20"/>
  <c r="T11" i="20" s="1"/>
  <c r="W14" i="20"/>
  <c r="X14" i="20"/>
  <c r="W12" i="20" l="1"/>
  <c r="W11" i="20" s="1"/>
  <c r="X12" i="20"/>
  <c r="X11" i="20" s="1"/>
  <c r="D16" i="18" l="1"/>
  <c r="X19" i="18" l="1"/>
  <c r="X12" i="18" s="1"/>
  <c r="X11" i="18" s="1"/>
  <c r="T19" i="18"/>
  <c r="T12" i="18" s="1"/>
  <c r="T11" i="18" s="1"/>
  <c r="P19" i="18"/>
  <c r="P12" i="18" s="1"/>
  <c r="P11" i="18" s="1"/>
  <c r="L19" i="18"/>
  <c r="L12" i="18" s="1"/>
  <c r="L11" i="18" s="1"/>
  <c r="H19" i="18"/>
  <c r="H12" i="18" s="1"/>
  <c r="H11" i="18" s="1"/>
  <c r="H17" i="19" l="1"/>
  <c r="H16" i="19"/>
  <c r="H15" i="19"/>
  <c r="H14" i="19"/>
  <c r="H13" i="19"/>
  <c r="G12" i="19"/>
  <c r="F12" i="19"/>
  <c r="E12" i="19"/>
  <c r="D12" i="19"/>
  <c r="C12" i="19"/>
  <c r="H11" i="19"/>
  <c r="H10" i="19" s="1"/>
  <c r="G10" i="19"/>
  <c r="F10" i="19"/>
  <c r="E10" i="19"/>
  <c r="D10" i="19"/>
  <c r="C10" i="19"/>
  <c r="G9" i="19"/>
  <c r="D9" i="19"/>
  <c r="C9" i="19"/>
  <c r="F9" i="19" l="1"/>
  <c r="E9" i="19"/>
  <c r="H12" i="19"/>
  <c r="H9" i="19" s="1"/>
  <c r="D15" i="18" l="1"/>
  <c r="D12" i="18" s="1"/>
  <c r="D11" i="18" s="1"/>
</calcChain>
</file>

<file path=xl/sharedStrings.xml><?xml version="1.0" encoding="utf-8"?>
<sst xmlns="http://schemas.openxmlformats.org/spreadsheetml/2006/main" count="179" uniqueCount="115">
  <si>
    <t>Nội dung</t>
  </si>
  <si>
    <t>Vay trong kỳ</t>
  </si>
  <si>
    <t>Gốc</t>
  </si>
  <si>
    <t>Tổng</t>
  </si>
  <si>
    <t>Trả nợ trong kỳ</t>
  </si>
  <si>
    <t>Dự án REII</t>
  </si>
  <si>
    <t xml:space="preserve">Chương trình đô thị miền núi phía Bắc </t>
  </si>
  <si>
    <t>Lãi/Phí</t>
  </si>
  <si>
    <t xml:space="preserve">   </t>
  </si>
  <si>
    <t>Dự án mở rộng bệnh viện đa khoa tỉnh Hòa Bình</t>
  </si>
  <si>
    <t>Dự án sửa chữa và nâng cao an toàn đập (WB8)</t>
  </si>
  <si>
    <t>Đơn vị: Triệu đồng</t>
  </si>
  <si>
    <t xml:space="preserve">Dư nợ đầu kỳ      </t>
  </si>
  <si>
    <t>Chương trình mở rộng quy mô vệ sinh nước sạch nông thôn dựa trên kết quả</t>
  </si>
  <si>
    <t>STT</t>
  </si>
  <si>
    <t>a</t>
  </si>
  <si>
    <t>b</t>
  </si>
  <si>
    <t>6=1+2-3</t>
  </si>
  <si>
    <t>Vay Ngân hàng phát triển Việt Nam</t>
  </si>
  <si>
    <t>Vay lại nguồn vay nước ngoài của Chính phủ</t>
  </si>
  <si>
    <t>Dư nợ cuối kỳ</t>
  </si>
  <si>
    <t>Dự án đầu tư xây dựng và phát triển hệ thống cung ứng dịch vụ y tế tuyến cơ sở</t>
  </si>
  <si>
    <t>(Kèm theo Công văn số         /STC-QLNS ngày        /7/2021 của Sở Tài chính)</t>
  </si>
  <si>
    <t>BÁO CÁO TÌNH HÌNH VAY VÀ TRẢ NỢ CỦA CHÍNH QUYỀN ĐỊA PHƯƠNG NĂM 2021</t>
  </si>
  <si>
    <t>(ngày 01 tháng 01)</t>
  </si>
  <si>
    <t>(ngày 30 tháng 6)</t>
  </si>
  <si>
    <t>Ban hành kèm theo Thông tư số 84/2018/TT-BTC ngày 13 tháng 9 năm 2018 của Bộ Tài chính hướng dẫn mẫu biểu báo cáo và công bố thông tin về nợ công</t>
  </si>
  <si>
    <t>Tên Dự án</t>
  </si>
  <si>
    <t>Nhà tài trợ</t>
  </si>
  <si>
    <t>Nhu cầu rút vốn năm 2022</t>
  </si>
  <si>
    <t>Nhu cầu rút vốn năm 2023</t>
  </si>
  <si>
    <t>Nhu cầu rút vốn năm 2024</t>
  </si>
  <si>
    <t xml:space="preserve">Tổng </t>
  </si>
  <si>
    <t xml:space="preserve">Cấp phát </t>
  </si>
  <si>
    <t>Vay lại</t>
  </si>
  <si>
    <t>XDCB</t>
  </si>
  <si>
    <t>HCSN</t>
  </si>
  <si>
    <t xml:space="preserve"> Dự án đầu tư XD và phát triển cung ứng dịch vụ y tế tuyến cơ sở</t>
  </si>
  <si>
    <t>WB</t>
  </si>
  <si>
    <t>BÁO CÁO DỰ KIẾN NGUỒN VỐN VAY ODA, VAY ƯU ĐÃI NƯỚC NGOÀI GIAI ĐOẠN 2021-2025</t>
  </si>
  <si>
    <t>Số vốn</t>
  </si>
  <si>
    <t>Cơ chế tài chính</t>
  </si>
  <si>
    <t>Cấp phát (%)</t>
  </si>
  <si>
    <t>Vay lại (%)</t>
  </si>
  <si>
    <t>Nhu cầu rút vốn năm 2021</t>
  </si>
  <si>
    <t>DỰ KIẾN GIẢI NGÂN TRONG KỲ KẾ HOẠCH 2021-2025</t>
  </si>
  <si>
    <t>TT</t>
  </si>
  <si>
    <t>Tình trạng</t>
  </si>
  <si>
    <t>I</t>
  </si>
  <si>
    <t>Chương trình đô thị miền núi phía Bắc</t>
  </si>
  <si>
    <t>Chương trình "mở rộng quy mô vệ sinh và nước sạch dựa trên kết quả"</t>
  </si>
  <si>
    <t>Dự án Sửa chữa và nâng cao an toàn đập (WB8), tỉnh Hòa Bình</t>
  </si>
  <si>
    <t>Phát triển cơ sở hạ tầng du lịch hỗ trợ cho tăng trưởng toàn diện khu vực tiểu vùng Mê Công mở rộng - giai đoạn 2 (tiểu dự án xây dựng và nâng cấp hạ tầng du lịch khu di tích Chùa Tiên, xã Phú Lão, huyện Lạc Thủy tỉnh Hòa Bình)</t>
  </si>
  <si>
    <t xml:space="preserve">Dự án Mở rộng Bệnh viện đa khoa tỉnh Hòa Bình </t>
  </si>
  <si>
    <t xml:space="preserve">Dự án Phát triển nông thôn đa mục tiêu huyện Đà Bắc, tỉnh Hòa Bình </t>
  </si>
  <si>
    <t>Chương trình thoát nước và xử lý nước thải tại thành phố"</t>
  </si>
  <si>
    <t>Cải thiện nông nghiệp có tưới (WB7)</t>
  </si>
  <si>
    <t>Cung cấp thiết bị Y tế cho Bệnh viện đa khoa huyện Lạc Thủy, tỉnh Hòa Bình</t>
  </si>
  <si>
    <t>Dự án phát triển Giáo dục THCS vùng khó khăn nhất, giai đoạn 2</t>
  </si>
  <si>
    <t xml:space="preserve"> Các dự án dự kiến sẽ thực hiện</t>
  </si>
  <si>
    <t>Dự án kết nối giao thông và thủy lợi tỉnh Hòa Bình với hệ thống hạ tầng quốc gia</t>
  </si>
  <si>
    <t>Dự án Phát triển đô thị xanh thích ứng biến đổi khí hậu – thị trấn Kỳ Sơn, huyện Kỳ Sơn, tỉnh Hòa Bình</t>
  </si>
  <si>
    <t xml:space="preserve">Dự án Phát triển hạ tầng du lịch tỉnh Hòa Bình </t>
  </si>
  <si>
    <t>Dự án Cầu Hòa Bình 6 và đường dẫn</t>
  </si>
  <si>
    <t>Nhu cầu rút vốn năm 2025</t>
  </si>
  <si>
    <t>ADB</t>
  </si>
  <si>
    <t>Quỹ Ả rập Xê út</t>
  </si>
  <si>
    <t>Đề nghị bổ sung vốn để thực hiện ghi thu ghi chi (cấp phát là 30,47 tỷ đồng, vay lại là 7,62 tỷ đồng)</t>
  </si>
  <si>
    <t>Kfw</t>
  </si>
  <si>
    <t>KEXIM</t>
  </si>
  <si>
    <t>II</t>
  </si>
  <si>
    <t>Bộ Kế hoạch và Đầu tư đã thẩm định báo cáo nghiên cứu tiền khả thi, hiện nay UBND tỉnh đã hoàn thiện hồ sơ trình Thủ tướng Chính phủ phê duyệt</t>
  </si>
  <si>
    <t>AFD</t>
  </si>
  <si>
    <t>Thủ tướng Chính phủ đã phê duyệt đề xuất dự án, hiện nay tỉnh Hoà Bình đang triển khai thực hiện các bước tiếp theo</t>
  </si>
  <si>
    <t>Bộ Tài chính đã trình Thủ tướng Chính phủ về đề xuất dự án, Bộ Kế hoạch và Đầu tư đang tổng hợp, trình Thủ tướng phê duyệt đề xuất dự án</t>
  </si>
  <si>
    <t>Thủ tương Chính phủ đã chấp nhận chủ trương sử dụng vốn vay nước ngoài để thực hiện dự án, hiện nay tỉnh Hoà Bình đang lập đề xuất trình Thủ tướng Chính phủ và các Bộ, ngành phê duyệt theo quy định</t>
  </si>
  <si>
    <t>DA Chương trình đô thị miền núi phía bắc- TP Hòa Bình</t>
  </si>
  <si>
    <t>DA thoát nước và xử lý nước thải TP Hòa Bình</t>
  </si>
  <si>
    <t>vay lại 100% chi phí giám sát phát sinh</t>
  </si>
  <si>
    <t>SAR</t>
  </si>
  <si>
    <t>(Kèm theo Công văn số            /STC-QLNS ngày          /7/2021 của Sở Tài chính)</t>
  </si>
  <si>
    <t>Mẫu biểu lập kế hoạch 2.04</t>
  </si>
  <si>
    <t>Đơn vị báo cáo: Sở Tài chính</t>
  </si>
  <si>
    <t>Đơn vị nhận báo cáo: Uỷ ban nhân dân tỉnh Hoà Bình</t>
  </si>
  <si>
    <t>BÁO CÁO TÌNH HÌNH VAY, TRẢ NỢ CỦA CÁC DỰ ÁN VAY LẠI NGUỒN VỐN VAY NƯỚC NGOÀI CỦA CHÍNH PHỦ NĂM HIỆN HÀNH, DỰ KIẾN NĂM KẾ HOẠCH VÀ HAI NĂM TIẾP THEO</t>
  </si>
  <si>
    <t>(Kèm theo Công văn số              /STC-QLNS ngày …    ../7/2021 của Sở Tài chính)</t>
  </si>
  <si>
    <t>Đơn vị tính: Triệu đồng</t>
  </si>
  <si>
    <t>Tên dự án</t>
  </si>
  <si>
    <t>Nhà Tài trợ</t>
  </si>
  <si>
    <t>Dư nợ cuối kì năm 2020</t>
  </si>
  <si>
    <t>Ước thực hiện cả năm 2021</t>
  </si>
  <si>
    <t>Dự kiến năm 2022</t>
  </si>
  <si>
    <t>Dự kiến năm 2023</t>
  </si>
  <si>
    <t>Dự kiến năm 2024</t>
  </si>
  <si>
    <t>Tổng rút vốn trong năm</t>
  </si>
  <si>
    <t>Trả nợ gốc trong năm</t>
  </si>
  <si>
    <t>Trả nợ lãi (phí) trong năm</t>
  </si>
  <si>
    <t>Dư nợ cuối năm</t>
  </si>
  <si>
    <t>A</t>
  </si>
  <si>
    <t>TỔNG</t>
  </si>
  <si>
    <t>Các dự án đang thực hiện (bao gồm cả các dự án đã rút vốn, đang trả nợ</t>
  </si>
  <si>
    <t>Ngân hàng Thế giới (WB)</t>
  </si>
  <si>
    <t>Tiểu dự án xây dựng và nâng cấp hạ tầng du lịch khu di tích Chùa Tiên, xã Phú Lão, huyện Lạc Thủy tỉnh Hòa Bình)</t>
  </si>
  <si>
    <t xml:space="preserve">dự án Mở rộng Bệnh viện đa khoa tỉnh Hòa Bình </t>
  </si>
  <si>
    <t>Các dự án dự kiến sẽ thực hiện</t>
  </si>
  <si>
    <t>Dự án Cầu Hòa Bình 6</t>
  </si>
  <si>
    <t>*Tỷ giá áp dụng:</t>
  </si>
  <si>
    <t>1USD=23230 VNĐ</t>
  </si>
  <si>
    <t>Dự kiến năm 2025</t>
  </si>
  <si>
    <t>Các Chương trình, dự án đang giải ngân</t>
  </si>
  <si>
    <t>Hợp phần 1: cấp phát 100%;
Hợp phần 2: cấp phát 60%</t>
  </si>
  <si>
    <t>Hợp phần 2: vay lại 40%</t>
  </si>
  <si>
    <t>Biểu số 02</t>
  </si>
  <si>
    <t>Biểu số 01</t>
  </si>
  <si>
    <t>Quỹ Kuwait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</si>
</sst>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_(* #,##0.0_);_(* \(#,##0.0\);_(* &quot;-&quot;??_);_(@_)"/>
    <numFmt numFmtId="166" formatCode="#,##0.0"/>
    <numFmt numFmtId="167" formatCode="_-* #,##0\ _₫_-;\-* #,##0\ _₫_-;_-* &quot;-&quot;??\ _₫_-;_-@_-"/>
    <numFmt numFmtId="168" formatCode="#,###;[Red]\-#,###"/>
  </numFmts>
  <fonts count="4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3"/>
      <color theme="1"/>
      <name val="Times New Roman"/>
      <family val="1"/>
    </font>
    <font>
      <sz val="12"/>
      <color theme="1"/>
      <name val="Times New Roman"/>
      <family val="1"/>
    </font>
    <font>
      <b/>
      <sz val="12"/>
      <color theme="1"/>
      <name val="Times New Roman"/>
      <family val="1"/>
    </font>
    <font>
      <sz val="12"/>
      <color rgb="FF000000"/>
      <name val="Times New Roman"/>
      <family val="1"/>
    </font>
    <font>
      <b/>
      <i/>
      <sz val="11"/>
      <color theme="1"/>
      <name val="Times New Roman"/>
      <family val="1"/>
    </font>
    <font>
      <sz val="12"/>
      <name val="Times New Roman"/>
      <family val="1"/>
    </font>
    <font>
      <b/>
      <sz val="14"/>
      <color theme="1"/>
      <name val="Times New Roman"/>
      <family val="1"/>
    </font>
    <font>
      <sz val="11"/>
      <name val="Times New Roman"/>
      <family val="1"/>
    </font>
    <font>
      <i/>
      <sz val="12"/>
      <color theme="1"/>
      <name val="Cambria"/>
      <family val="1"/>
      <charset val="163"/>
      <scheme val="major"/>
    </font>
    <font>
      <sz val="10"/>
      <name val="Arial"/>
      <family val="2"/>
      <charset val="163"/>
    </font>
    <font>
      <b/>
      <sz val="14"/>
      <name val="Times New Roman"/>
      <family val="1"/>
    </font>
    <font>
      <b/>
      <sz val="11"/>
      <name val="Times New Roman"/>
      <family val="1"/>
    </font>
    <font>
      <i/>
      <sz val="11"/>
      <name val="Times New Roman"/>
      <family val="1"/>
    </font>
    <font>
      <b/>
      <sz val="11"/>
      <name val="Times New Roman"/>
      <family val="1"/>
      <charset val="163"/>
    </font>
    <font>
      <b/>
      <sz val="10"/>
      <name val="Times New Roman"/>
      <family val="1"/>
    </font>
    <font>
      <sz val="10"/>
      <name val="Times New Roman"/>
      <family val="1"/>
      <charset val="163"/>
    </font>
    <font>
      <sz val="10"/>
      <name val="Times New Roman"/>
      <family val="1"/>
    </font>
    <font>
      <b/>
      <sz val="11"/>
      <color theme="1"/>
      <name val="Calibri"/>
      <family val="2"/>
      <scheme val="minor"/>
    </font>
    <font>
      <sz val="10"/>
      <name val="Arial"/>
      <family val="2"/>
    </font>
    <font>
      <sz val="10"/>
      <color theme="1"/>
      <name val="Times New Roman"/>
      <family val="1"/>
    </font>
    <font>
      <sz val="11"/>
      <name val="Calibri"/>
      <family val="2"/>
      <scheme val="minor"/>
    </font>
    <font>
      <i/>
      <sz val="14"/>
      <name val="Times New Roman"/>
      <family val="1"/>
    </font>
    <font>
      <i/>
      <sz val="12"/>
      <name val="Times New Roman"/>
      <family val="1"/>
    </font>
    <font>
      <b/>
      <sz val="12"/>
      <color indexed="8"/>
      <name val="Times New Roman"/>
      <family val="1"/>
    </font>
    <font>
      <sz val="12"/>
      <name val=".VnArial Narrow"/>
      <family val="2"/>
    </font>
    <font>
      <b/>
      <sz val="13"/>
      <color theme="1"/>
      <name val="Times New Roman"/>
      <family val="1"/>
    </font>
    <font>
      <i/>
      <sz val="10"/>
      <name val="Times New Roman"/>
      <family val="1"/>
    </font>
    <font>
      <i/>
      <sz val="11"/>
      <color theme="1"/>
      <name val="Times New Roman"/>
      <family val="1"/>
    </font>
    <font>
      <b/>
      <sz val="10"/>
      <color theme="1"/>
      <name val="Times New Roman"/>
      <family val="1"/>
    </font>
    <font>
      <i/>
      <sz val="10"/>
      <color theme="1"/>
      <name val="Times New Roman"/>
      <family val="1"/>
    </font>
    <font>
      <b/>
      <sz val="10"/>
      <color rgb="FF222222"/>
      <name val="Cambria"/>
      <family val="1"/>
      <charset val="163"/>
      <scheme val="major"/>
    </font>
    <font>
      <sz val="11"/>
      <name val="Times New Roman"/>
      <family val="1"/>
      <charset val="163"/>
    </font>
    <font>
      <b/>
      <sz val="9"/>
      <name val="Times New Roman"/>
      <family val="1"/>
    </font>
    <font>
      <sz val="9"/>
      <name val="Times New Roman"/>
      <family val="1"/>
    </font>
    <font>
      <sz val="9"/>
      <color theme="1"/>
      <name val="Times New Roman"/>
      <family val="1"/>
    </font>
    <font>
      <sz val="6"/>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3" fontId="13" fillId="0" borderId="0" applyFont="0" applyFill="0" applyBorder="0" applyAlignment="0" applyProtection="0"/>
    <xf numFmtId="0" fontId="22" fillId="0" borderId="0"/>
    <xf numFmtId="0" fontId="28" fillId="0" borderId="0"/>
  </cellStyleXfs>
  <cellXfs count="147">
    <xf numFmtId="0" fontId="0" fillId="0" borderId="0" xfId="0"/>
    <xf numFmtId="0" fontId="6" fillId="0" borderId="0"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vertical="center" wrapText="1"/>
    </xf>
    <xf numFmtId="164" fontId="6" fillId="0" borderId="0" xfId="0" applyNumberFormat="1" applyFont="1" applyBorder="1" applyAlignment="1">
      <alignment vertical="center" wrapText="1"/>
    </xf>
    <xf numFmtId="0" fontId="6" fillId="0" borderId="0" xfId="0" applyFont="1" applyAlignment="1">
      <alignment vertical="center"/>
    </xf>
    <xf numFmtId="0" fontId="6" fillId="0" borderId="1" xfId="0" applyFont="1" applyBorder="1" applyAlignment="1">
      <alignment vertical="center" wrapText="1"/>
    </xf>
    <xf numFmtId="164" fontId="6" fillId="0" borderId="0" xfId="0" applyNumberFormat="1" applyFont="1" applyBorder="1" applyAlignment="1">
      <alignment vertical="center"/>
    </xf>
    <xf numFmtId="0" fontId="6" fillId="0" borderId="0"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2" fillId="0" borderId="0" xfId="0" applyFont="1" applyAlignment="1">
      <alignment horizontal="right" vertical="center"/>
    </xf>
    <xf numFmtId="165" fontId="6" fillId="0" borderId="1" xfId="1" applyNumberFormat="1" applyFont="1" applyBorder="1" applyAlignment="1">
      <alignment horizontal="center" vertical="center" wrapText="1"/>
    </xf>
    <xf numFmtId="165" fontId="2" fillId="0" borderId="0" xfId="1" applyNumberFormat="1" applyFont="1" applyAlignment="1">
      <alignment vertical="center"/>
    </xf>
    <xf numFmtId="165" fontId="2" fillId="2" borderId="0" xfId="1" applyNumberFormat="1" applyFont="1" applyFill="1" applyAlignment="1">
      <alignment vertical="center"/>
    </xf>
    <xf numFmtId="165" fontId="5" fillId="0" borderId="0" xfId="0" applyNumberFormat="1" applyFont="1" applyBorder="1" applyAlignment="1">
      <alignment vertical="center"/>
    </xf>
    <xf numFmtId="164" fontId="6" fillId="0" borderId="1"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49" fontId="6" fillId="2" borderId="1" xfId="1" applyNumberFormat="1" applyFont="1" applyFill="1" applyBorder="1" applyAlignment="1">
      <alignment horizontal="center" vertical="center" wrapText="1"/>
    </xf>
    <xf numFmtId="49" fontId="6" fillId="0" borderId="1" xfId="1" applyNumberFormat="1" applyFont="1" applyBorder="1" applyAlignment="1">
      <alignment horizontal="center" vertical="center" wrapText="1"/>
    </xf>
    <xf numFmtId="164" fontId="6"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164" fontId="5" fillId="2" borderId="1" xfId="1" applyNumberFormat="1" applyFont="1" applyFill="1" applyBorder="1" applyAlignment="1">
      <alignment horizontal="center" vertical="center"/>
    </xf>
    <xf numFmtId="164" fontId="7" fillId="2" borderId="1" xfId="1"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43" fontId="5" fillId="0" borderId="0" xfId="1" applyFont="1" applyAlignment="1">
      <alignment vertical="center"/>
    </xf>
    <xf numFmtId="164" fontId="11" fillId="2" borderId="1" xfId="1" applyNumberFormat="1" applyFont="1" applyFill="1" applyBorder="1" applyAlignment="1">
      <alignment vertical="center"/>
    </xf>
    <xf numFmtId="165" fontId="6" fillId="0" borderId="3" xfId="1" applyNumberFormat="1" applyFont="1" applyBorder="1" applyAlignment="1">
      <alignment horizontal="center" vertical="center" wrapText="1"/>
    </xf>
    <xf numFmtId="165" fontId="6" fillId="0" borderId="4" xfId="1" applyNumberFormat="1" applyFont="1" applyBorder="1" applyAlignment="1">
      <alignment horizontal="center" vertical="center" wrapText="1"/>
    </xf>
    <xf numFmtId="166" fontId="11" fillId="2" borderId="0" xfId="2" applyNumberFormat="1" applyFont="1" applyFill="1" applyAlignment="1">
      <alignment vertical="center" wrapText="1"/>
    </xf>
    <xf numFmtId="166" fontId="16" fillId="2" borderId="0" xfId="2" applyNumberFormat="1" applyFont="1" applyFill="1" applyBorder="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9" fillId="2" borderId="1" xfId="0" applyFont="1" applyFill="1" applyBorder="1" applyAlignment="1">
      <alignment vertical="center" wrapText="1"/>
    </xf>
    <xf numFmtId="0" fontId="18" fillId="2" borderId="1" xfId="0" applyFont="1" applyFill="1" applyBorder="1" applyAlignment="1">
      <alignment vertical="center" wrapText="1"/>
    </xf>
    <xf numFmtId="0" fontId="20" fillId="2" borderId="1" xfId="0" applyFont="1" applyFill="1" applyBorder="1" applyAlignment="1">
      <alignment vertical="center" wrapText="1"/>
    </xf>
    <xf numFmtId="164" fontId="20" fillId="2" borderId="1" xfId="1" applyNumberFormat="1" applyFont="1" applyFill="1" applyBorder="1" applyAlignment="1">
      <alignment vertical="center" wrapText="1"/>
    </xf>
    <xf numFmtId="0" fontId="0" fillId="2" borderId="0" xfId="0" applyFill="1"/>
    <xf numFmtId="0" fontId="0" fillId="2" borderId="1" xfId="0" applyFill="1" applyBorder="1"/>
    <xf numFmtId="0" fontId="23" fillId="2" borderId="1" xfId="0" applyFont="1" applyFill="1" applyBorder="1" applyAlignment="1">
      <alignment horizontal="center" vertical="center" wrapText="1"/>
    </xf>
    <xf numFmtId="164" fontId="23" fillId="2" borderId="1" xfId="1" applyNumberFormat="1" applyFont="1" applyFill="1" applyBorder="1" applyAlignment="1">
      <alignment horizontal="center" vertical="center" wrapText="1"/>
    </xf>
    <xf numFmtId="0" fontId="24" fillId="2" borderId="0" xfId="0" applyFont="1" applyFill="1"/>
    <xf numFmtId="0" fontId="20" fillId="2" borderId="0" xfId="0" applyFont="1" applyFill="1"/>
    <xf numFmtId="164" fontId="20"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3" fontId="20" fillId="2" borderId="1" xfId="3" applyNumberFormat="1" applyFont="1" applyFill="1" applyBorder="1" applyAlignment="1">
      <alignment horizontal="left" vertical="center" wrapText="1"/>
    </xf>
    <xf numFmtId="164" fontId="20" fillId="2" borderId="1" xfId="1" applyNumberFormat="1" applyFont="1" applyFill="1" applyBorder="1" applyAlignment="1">
      <alignment vertical="center"/>
    </xf>
    <xf numFmtId="0" fontId="11" fillId="2" borderId="0" xfId="0" applyFont="1" applyFill="1" applyAlignment="1">
      <alignment horizontal="center" vertical="center"/>
    </xf>
    <xf numFmtId="43" fontId="14" fillId="2" borderId="0" xfId="2" applyFont="1" applyFill="1" applyAlignment="1">
      <alignment vertical="center"/>
    </xf>
    <xf numFmtId="43" fontId="14" fillId="2" borderId="0" xfId="2" applyFont="1" applyFill="1" applyAlignment="1">
      <alignment horizontal="center" vertical="center"/>
    </xf>
    <xf numFmtId="164" fontId="14" fillId="2" borderId="0" xfId="1" applyNumberFormat="1" applyFont="1" applyFill="1" applyAlignment="1">
      <alignment vertical="center"/>
    </xf>
    <xf numFmtId="164" fontId="11" fillId="2" borderId="0" xfId="1" applyNumberFormat="1" applyFont="1" applyFill="1" applyAlignment="1">
      <alignment vertical="center"/>
    </xf>
    <xf numFmtId="0" fontId="11" fillId="2" borderId="0" xfId="0" applyFont="1" applyFill="1" applyAlignment="1">
      <alignment vertical="center"/>
    </xf>
    <xf numFmtId="0" fontId="26" fillId="2" borderId="0" xfId="0" applyFont="1" applyFill="1" applyAlignment="1">
      <alignment vertical="center"/>
    </xf>
    <xf numFmtId="0" fontId="20" fillId="2" borderId="0" xfId="0" applyFont="1" applyFill="1" applyAlignment="1">
      <alignment vertical="center"/>
    </xf>
    <xf numFmtId="164" fontId="20" fillId="2" borderId="0" xfId="1" applyNumberFormat="1" applyFont="1" applyFill="1" applyAlignment="1">
      <alignment vertical="center"/>
    </xf>
    <xf numFmtId="0" fontId="18"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Alignment="1">
      <alignment vertical="center"/>
    </xf>
    <xf numFmtId="0" fontId="5" fillId="2" borderId="1"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Alignment="1">
      <alignment vertical="center"/>
    </xf>
    <xf numFmtId="164" fontId="5" fillId="2" borderId="0" xfId="1" applyNumberFormat="1"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5" fillId="0" borderId="0" xfId="1" applyNumberFormat="1" applyFont="1" applyAlignment="1">
      <alignment vertical="center"/>
    </xf>
    <xf numFmtId="165" fontId="5" fillId="2" borderId="0" xfId="1" applyNumberFormat="1" applyFont="1" applyFill="1" applyAlignment="1">
      <alignment vertical="center"/>
    </xf>
    <xf numFmtId="0" fontId="5" fillId="0" borderId="0" xfId="0" applyFont="1" applyBorder="1" applyAlignment="1">
      <alignment horizontal="right" vertical="center"/>
    </xf>
    <xf numFmtId="0" fontId="5" fillId="2" borderId="1" xfId="0" applyFont="1" applyFill="1" applyBorder="1" applyAlignment="1">
      <alignment vertical="center"/>
    </xf>
    <xf numFmtId="0" fontId="2" fillId="2" borderId="1" xfId="0" applyFont="1" applyFill="1" applyBorder="1" applyAlignment="1">
      <alignment vertical="center"/>
    </xf>
    <xf numFmtId="165" fontId="2" fillId="2" borderId="1" xfId="1" applyNumberFormat="1" applyFont="1" applyFill="1" applyBorder="1" applyAlignment="1">
      <alignment vertical="center"/>
    </xf>
    <xf numFmtId="0" fontId="2" fillId="2" borderId="0" xfId="0" applyFont="1" applyFill="1" applyAlignment="1">
      <alignment vertical="center"/>
    </xf>
    <xf numFmtId="0" fontId="8" fillId="0" borderId="0" xfId="0" applyFont="1" applyAlignment="1">
      <alignment vertical="center"/>
    </xf>
    <xf numFmtId="165" fontId="8" fillId="0" borderId="0" xfId="1" applyNumberFormat="1" applyFont="1" applyAlignment="1">
      <alignment vertical="center"/>
    </xf>
    <xf numFmtId="165" fontId="8" fillId="2" borderId="0" xfId="1" applyNumberFormat="1" applyFont="1" applyFill="1" applyAlignment="1">
      <alignment vertical="center"/>
    </xf>
    <xf numFmtId="0" fontId="27" fillId="0" borderId="0" xfId="0" applyFont="1" applyBorder="1" applyAlignment="1">
      <alignment vertical="top"/>
    </xf>
    <xf numFmtId="0" fontId="6" fillId="2" borderId="0" xfId="0" applyFont="1" applyFill="1" applyAlignment="1">
      <alignment vertical="center" wrapText="1"/>
    </xf>
    <xf numFmtId="0" fontId="12" fillId="0" borderId="0" xfId="0" applyFont="1" applyBorder="1"/>
    <xf numFmtId="168" fontId="18" fillId="2" borderId="0" xfId="4" applyNumberFormat="1" applyFont="1" applyFill="1" applyBorder="1" applyAlignment="1">
      <alignment vertical="center"/>
    </xf>
    <xf numFmtId="0" fontId="18" fillId="2" borderId="0" xfId="0" applyFont="1" applyFill="1" applyAlignment="1"/>
    <xf numFmtId="0" fontId="30" fillId="2" borderId="0" xfId="0" applyFont="1" applyFill="1" applyAlignment="1">
      <alignment vertical="center"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0" fontId="21" fillId="2" borderId="0" xfId="0" applyFont="1" applyFill="1"/>
    <xf numFmtId="0" fontId="34" fillId="2" borderId="0" xfId="0" applyFont="1" applyFill="1" applyAlignment="1">
      <alignment vertical="center" wrapText="1"/>
    </xf>
    <xf numFmtId="0" fontId="35" fillId="2" borderId="1" xfId="0" applyFont="1" applyFill="1" applyBorder="1" applyAlignment="1">
      <alignment vertical="center" wrapText="1"/>
    </xf>
    <xf numFmtId="0" fontId="35" fillId="2" borderId="1" xfId="0"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64" fontId="32" fillId="2" borderId="1" xfId="1" applyNumberFormat="1" applyFont="1" applyFill="1" applyBorder="1" applyAlignment="1">
      <alignment horizontal="center" vertical="center" wrapText="1"/>
    </xf>
    <xf numFmtId="165" fontId="3" fillId="0" borderId="0" xfId="1" applyNumberFormat="1" applyFont="1" applyAlignment="1">
      <alignment horizontal="right" vertical="center"/>
    </xf>
    <xf numFmtId="0" fontId="10" fillId="0" borderId="0" xfId="0" applyFont="1" applyAlignment="1">
      <alignment horizontal="center" vertical="center"/>
    </xf>
    <xf numFmtId="0" fontId="4" fillId="0" borderId="0" xfId="0" applyFont="1" applyAlignment="1">
      <alignment horizontal="center" vertical="center"/>
    </xf>
    <xf numFmtId="165" fontId="5" fillId="0" borderId="2" xfId="1" applyNumberFormat="1" applyFont="1" applyBorder="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5" fontId="6" fillId="2" borderId="1" xfId="1" applyNumberFormat="1" applyFont="1" applyFill="1" applyBorder="1" applyAlignment="1">
      <alignment horizontal="center" vertical="center" wrapText="1"/>
    </xf>
    <xf numFmtId="165" fontId="6" fillId="0" borderId="1" xfId="1" applyNumberFormat="1" applyFont="1" applyBorder="1" applyAlignment="1">
      <alignment horizontal="center" vertical="center"/>
    </xf>
    <xf numFmtId="0" fontId="14" fillId="2" borderId="0" xfId="0" applyFont="1" applyFill="1" applyAlignment="1">
      <alignment horizontal="center" vertical="center"/>
    </xf>
    <xf numFmtId="0" fontId="25" fillId="2" borderId="0" xfId="0" applyFont="1" applyFill="1" applyAlignment="1">
      <alignment horizontal="center" vertical="center"/>
    </xf>
    <xf numFmtId="0" fontId="32" fillId="2" borderId="1" xfId="0" applyFont="1" applyFill="1" applyBorder="1" applyAlignment="1">
      <alignment horizontal="center" vertical="center" wrapText="1"/>
    </xf>
    <xf numFmtId="0" fontId="31" fillId="2" borderId="2" xfId="0" applyFont="1" applyFill="1" applyBorder="1" applyAlignment="1">
      <alignment horizontal="center"/>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164" fontId="2" fillId="2" borderId="1" xfId="1" applyNumberFormat="1" applyFont="1" applyFill="1" applyBorder="1" applyAlignment="1">
      <alignment vertical="center"/>
    </xf>
    <xf numFmtId="43" fontId="18" fillId="2" borderId="1" xfId="2" applyFont="1" applyFill="1" applyBorder="1" applyAlignment="1">
      <alignment horizontal="center" vertical="center" wrapText="1"/>
    </xf>
    <xf numFmtId="164" fontId="18" fillId="2" borderId="1" xfId="1" applyNumberFormat="1" applyFont="1" applyFill="1" applyBorder="1" applyAlignment="1">
      <alignment horizontal="center" vertical="center" wrapText="1"/>
    </xf>
    <xf numFmtId="0" fontId="18" fillId="2" borderId="1" xfId="0" applyFont="1" applyFill="1" applyBorder="1" applyAlignment="1">
      <alignment horizontal="center" vertical="center"/>
    </xf>
    <xf numFmtId="166" fontId="18" fillId="2" borderId="1" xfId="2" applyNumberFormat="1" applyFont="1" applyFill="1" applyBorder="1" applyAlignment="1">
      <alignment horizontal="center" vertical="center" wrapText="1"/>
    </xf>
    <xf numFmtId="166" fontId="18" fillId="2" borderId="1" xfId="2" applyNumberFormat="1" applyFont="1" applyFill="1" applyBorder="1" applyAlignment="1">
      <alignment horizontal="center" vertical="center" wrapText="1"/>
    </xf>
    <xf numFmtId="0" fontId="20" fillId="2" borderId="0" xfId="0" applyFont="1" applyFill="1" applyAlignment="1">
      <alignment horizontal="center" vertical="center"/>
    </xf>
    <xf numFmtId="0" fontId="18" fillId="2" borderId="0" xfId="0" applyFont="1" applyFill="1" applyAlignment="1">
      <alignment vertical="center"/>
    </xf>
    <xf numFmtId="3" fontId="20" fillId="2" borderId="0" xfId="0" applyNumberFormat="1" applyFont="1" applyFill="1" applyAlignment="1">
      <alignment vertical="center"/>
    </xf>
    <xf numFmtId="0" fontId="23" fillId="2" borderId="0" xfId="0" applyFont="1" applyFill="1" applyAlignment="1">
      <alignment vertical="center"/>
    </xf>
    <xf numFmtId="0" fontId="36" fillId="2" borderId="1"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7" fillId="2" borderId="0" xfId="0" applyNumberFormat="1" applyFont="1" applyFill="1" applyAlignment="1">
      <alignment horizontal="center" vertical="center"/>
    </xf>
    <xf numFmtId="0" fontId="37" fillId="2" borderId="0" xfId="0" applyFont="1" applyFill="1" applyAlignment="1">
      <alignment horizontal="center" vertical="center"/>
    </xf>
    <xf numFmtId="43" fontId="36" fillId="2" borderId="1" xfId="2" applyFont="1" applyFill="1" applyBorder="1" applyAlignment="1">
      <alignment vertical="center" wrapText="1"/>
    </xf>
    <xf numFmtId="43" fontId="36" fillId="2" borderId="1" xfId="2" applyFont="1" applyFill="1" applyBorder="1" applyAlignment="1">
      <alignment horizontal="center" vertical="center" wrapText="1"/>
    </xf>
    <xf numFmtId="164" fontId="36" fillId="2" borderId="1" xfId="1" applyNumberFormat="1" applyFont="1" applyFill="1" applyBorder="1" applyAlignment="1">
      <alignment vertical="center" wrapText="1"/>
    </xf>
    <xf numFmtId="0" fontId="37" fillId="2" borderId="0" xfId="0" applyFont="1" applyFill="1" applyAlignment="1">
      <alignment vertical="center"/>
    </xf>
    <xf numFmtId="164" fontId="37" fillId="2" borderId="1" xfId="1" applyNumberFormat="1" applyFont="1" applyFill="1" applyBorder="1" applyAlignment="1">
      <alignment vertical="center"/>
    </xf>
    <xf numFmtId="0" fontId="37" fillId="2" borderId="1" xfId="0" applyFont="1" applyFill="1" applyBorder="1" applyAlignment="1">
      <alignment vertical="center"/>
    </xf>
    <xf numFmtId="43" fontId="37" fillId="2" borderId="1" xfId="2" applyFont="1" applyFill="1" applyBorder="1" applyAlignment="1">
      <alignment vertical="center" wrapText="1"/>
    </xf>
    <xf numFmtId="164" fontId="37" fillId="2" borderId="1" xfId="1" applyNumberFormat="1" applyFont="1" applyFill="1" applyBorder="1" applyAlignment="1">
      <alignment horizontal="center" vertical="center" wrapText="1"/>
    </xf>
    <xf numFmtId="164" fontId="37" fillId="2" borderId="1" xfId="1" applyNumberFormat="1" applyFont="1" applyFill="1" applyBorder="1" applyAlignment="1">
      <alignment vertical="center" wrapText="1"/>
    </xf>
    <xf numFmtId="164" fontId="37" fillId="2" borderId="1" xfId="1" applyNumberFormat="1" applyFont="1" applyFill="1" applyBorder="1" applyAlignment="1">
      <alignment horizontal="center" vertical="center"/>
    </xf>
    <xf numFmtId="164" fontId="37" fillId="2" borderId="1" xfId="0" applyNumberFormat="1" applyFont="1" applyFill="1" applyBorder="1" applyAlignment="1">
      <alignment horizontal="center" vertical="center"/>
    </xf>
    <xf numFmtId="167" fontId="37" fillId="2" borderId="1" xfId="1" applyNumberFormat="1" applyFont="1" applyFill="1" applyBorder="1" applyAlignment="1">
      <alignment horizontal="center" vertical="center" wrapText="1"/>
    </xf>
    <xf numFmtId="164" fontId="37" fillId="2" borderId="1" xfId="0" applyNumberFormat="1" applyFont="1" applyFill="1" applyBorder="1" applyAlignment="1">
      <alignment vertical="center"/>
    </xf>
    <xf numFmtId="164" fontId="36" fillId="2" borderId="1" xfId="1" applyNumberFormat="1" applyFont="1" applyFill="1" applyBorder="1" applyAlignment="1">
      <alignment vertical="center"/>
    </xf>
    <xf numFmtId="0" fontId="37" fillId="2" borderId="1" xfId="0" applyFont="1" applyFill="1" applyBorder="1" applyAlignment="1">
      <alignment vertical="center" wrapText="1"/>
    </xf>
    <xf numFmtId="0" fontId="38" fillId="2" borderId="1" xfId="0" applyFont="1" applyFill="1" applyBorder="1" applyAlignment="1">
      <alignment vertical="center"/>
    </xf>
    <xf numFmtId="0" fontId="38" fillId="2" borderId="1" xfId="0" applyFont="1" applyFill="1" applyBorder="1" applyAlignment="1">
      <alignment vertical="center" wrapText="1"/>
    </xf>
    <xf numFmtId="164" fontId="38" fillId="2" borderId="1" xfId="1" applyNumberFormat="1" applyFont="1" applyFill="1" applyBorder="1" applyAlignment="1">
      <alignment horizontal="center" vertical="center" wrapText="1"/>
    </xf>
    <xf numFmtId="164" fontId="37" fillId="2" borderId="0" xfId="1" applyNumberFormat="1" applyFont="1" applyFill="1" applyAlignment="1">
      <alignment vertical="center"/>
    </xf>
    <xf numFmtId="0" fontId="15" fillId="2" borderId="0" xfId="0" applyFont="1" applyFill="1" applyAlignment="1">
      <alignment horizontal="center" vertical="center"/>
    </xf>
    <xf numFmtId="0" fontId="39" fillId="2" borderId="1" xfId="0" applyFont="1" applyFill="1" applyBorder="1" applyAlignment="1">
      <alignment horizontal="center" vertical="center" wrapText="1"/>
    </xf>
  </cellXfs>
  <cellStyles count="5">
    <cellStyle name="Comma" xfId="1" builtinId="3"/>
    <cellStyle name="Comma 7" xfId="2"/>
    <cellStyle name="Normal" xfId="0" builtinId="0"/>
    <cellStyle name="Normal_030825 Phu cap truc yte" xfId="4"/>
    <cellStyle name="Normal_Bieu mau (CV )"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g\Ng&#226;n%20s&#225;ch\c&#244;ng%20v&#259;n\N&#259;m%202021\UBND%20t&#7881;nh\ODA%20g&#273;%202022.2024\Bieu2.032.04TT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
      <sheetName val="2.04"/>
      <sheetName val="Sheet1"/>
    </sheetNames>
    <sheetDataSet>
      <sheetData sheetId="0">
        <row r="28">
          <cell r="O28">
            <v>46490</v>
          </cell>
          <cell r="S28">
            <v>77484</v>
          </cell>
          <cell r="W28">
            <v>77484</v>
          </cell>
        </row>
        <row r="29">
          <cell r="S29">
            <v>66860.400000000009</v>
          </cell>
          <cell r="W29">
            <v>83575.600000000006</v>
          </cell>
        </row>
        <row r="30">
          <cell r="S30">
            <v>69387.600000000006</v>
          </cell>
          <cell r="W30">
            <v>83265.36</v>
          </cell>
        </row>
        <row r="31">
          <cell r="S31">
            <v>117819</v>
          </cell>
          <cell r="W31">
            <v>196365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80" zoomScaleNormal="80" workbookViewId="0">
      <selection activeCell="L11" sqref="L11"/>
    </sheetView>
  </sheetViews>
  <sheetFormatPr defaultColWidth="9" defaultRowHeight="15" x14ac:dyDescent="0.25"/>
  <cols>
    <col min="1" max="1" width="6.25" style="12" customWidth="1"/>
    <col min="2" max="2" width="38.25" style="12" customWidth="1"/>
    <col min="3" max="3" width="22" style="16" customWidth="1"/>
    <col min="4" max="4" width="12.125" style="17" customWidth="1"/>
    <col min="5" max="5" width="13.375" style="16" customWidth="1"/>
    <col min="6" max="6" width="13.125" style="16" customWidth="1"/>
    <col min="7" max="7" width="11.75" style="16" customWidth="1"/>
    <col min="8" max="8" width="17.25" style="16" customWidth="1"/>
    <col min="9" max="9" width="11.625" style="12" bestFit="1" customWidth="1"/>
    <col min="10" max="10" width="10.75" style="12" bestFit="1" customWidth="1"/>
    <col min="11" max="11" width="10.375" style="12" bestFit="1" customWidth="1"/>
    <col min="12" max="16384" width="9" style="12"/>
  </cols>
  <sheetData>
    <row r="1" spans="1:14" x14ac:dyDescent="0.25">
      <c r="G1" s="98" t="s">
        <v>112</v>
      </c>
      <c r="H1" s="98"/>
    </row>
    <row r="2" spans="1:14" s="70" customFormat="1" ht="18.75" x14ac:dyDescent="0.25">
      <c r="A2" s="99" t="s">
        <v>23</v>
      </c>
      <c r="B2" s="99"/>
      <c r="C2" s="99"/>
      <c r="D2" s="99"/>
      <c r="E2" s="99"/>
      <c r="F2" s="99"/>
      <c r="G2" s="99"/>
      <c r="H2" s="99"/>
      <c r="I2" s="69"/>
      <c r="J2" s="69"/>
    </row>
    <row r="3" spans="1:14" s="70" customFormat="1" ht="16.5" x14ac:dyDescent="0.25">
      <c r="A3" s="100" t="s">
        <v>22</v>
      </c>
      <c r="B3" s="100"/>
      <c r="C3" s="100"/>
      <c r="D3" s="100"/>
      <c r="E3" s="100"/>
      <c r="F3" s="100"/>
      <c r="G3" s="100"/>
      <c r="H3" s="100"/>
      <c r="I3" s="69"/>
      <c r="J3" s="69"/>
    </row>
    <row r="5" spans="1:14" s="11" customFormat="1" ht="21.75" customHeight="1" x14ac:dyDescent="0.25">
      <c r="C5" s="71"/>
      <c r="D5" s="72"/>
      <c r="E5" s="101" t="s">
        <v>11</v>
      </c>
      <c r="F5" s="101"/>
      <c r="G5" s="101"/>
      <c r="H5" s="101"/>
      <c r="I5" s="73"/>
      <c r="J5" s="73"/>
    </row>
    <row r="6" spans="1:14" s="2" customFormat="1" ht="21" customHeight="1" x14ac:dyDescent="0.25">
      <c r="A6" s="102" t="s">
        <v>14</v>
      </c>
      <c r="B6" s="103" t="s">
        <v>0</v>
      </c>
      <c r="C6" s="30" t="s">
        <v>12</v>
      </c>
      <c r="D6" s="104" t="s">
        <v>1</v>
      </c>
      <c r="E6" s="105" t="s">
        <v>4</v>
      </c>
      <c r="F6" s="105"/>
      <c r="G6" s="105"/>
      <c r="H6" s="30" t="s">
        <v>20</v>
      </c>
      <c r="I6" s="1"/>
      <c r="J6" s="1"/>
    </row>
    <row r="7" spans="1:14" s="2" customFormat="1" ht="30.75" customHeight="1" x14ac:dyDescent="0.25">
      <c r="A7" s="102"/>
      <c r="B7" s="103"/>
      <c r="C7" s="31" t="s">
        <v>24</v>
      </c>
      <c r="D7" s="104"/>
      <c r="E7" s="15" t="s">
        <v>2</v>
      </c>
      <c r="F7" s="15" t="s">
        <v>7</v>
      </c>
      <c r="G7" s="15" t="s">
        <v>3</v>
      </c>
      <c r="H7" s="31" t="s">
        <v>25</v>
      </c>
      <c r="I7" s="1"/>
      <c r="J7" s="1"/>
    </row>
    <row r="8" spans="1:14" s="2" customFormat="1" ht="30.75" customHeight="1" x14ac:dyDescent="0.25">
      <c r="A8" s="34" t="s">
        <v>15</v>
      </c>
      <c r="B8" s="35" t="s">
        <v>16</v>
      </c>
      <c r="C8" s="20">
        <v>1</v>
      </c>
      <c r="D8" s="21">
        <v>2</v>
      </c>
      <c r="E8" s="22">
        <v>3</v>
      </c>
      <c r="F8" s="22">
        <v>4</v>
      </c>
      <c r="G8" s="22">
        <v>5</v>
      </c>
      <c r="H8" s="31" t="s">
        <v>17</v>
      </c>
      <c r="I8" s="1"/>
      <c r="J8" s="1"/>
    </row>
    <row r="9" spans="1:14" s="5" customFormat="1" ht="30.75" customHeight="1" x14ac:dyDescent="0.25">
      <c r="A9" s="34"/>
      <c r="B9" s="35" t="s">
        <v>3</v>
      </c>
      <c r="C9" s="19">
        <f>C10+C12</f>
        <v>225397.01550460001</v>
      </c>
      <c r="D9" s="19">
        <f t="shared" ref="D9:H9" si="0">D10+D12</f>
        <v>3150</v>
      </c>
      <c r="E9" s="19">
        <f t="shared" si="0"/>
        <v>4109.3030419500001</v>
      </c>
      <c r="F9" s="19">
        <f t="shared" si="0"/>
        <v>723.09162669644252</v>
      </c>
      <c r="G9" s="19">
        <f t="shared" si="0"/>
        <v>0</v>
      </c>
      <c r="H9" s="19">
        <f t="shared" si="0"/>
        <v>224437.71246265</v>
      </c>
      <c r="I9" s="3"/>
      <c r="J9" s="4"/>
    </row>
    <row r="10" spans="1:14" s="5" customFormat="1" ht="41.25" customHeight="1" x14ac:dyDescent="0.25">
      <c r="A10" s="34">
        <v>1</v>
      </c>
      <c r="B10" s="6" t="s">
        <v>18</v>
      </c>
      <c r="C10" s="23">
        <f>C11</f>
        <v>123961</v>
      </c>
      <c r="D10" s="23">
        <f t="shared" ref="D10:H10" si="1">D11</f>
        <v>0</v>
      </c>
      <c r="E10" s="23">
        <f t="shared" si="1"/>
        <v>0</v>
      </c>
      <c r="F10" s="23">
        <f t="shared" si="1"/>
        <v>0</v>
      </c>
      <c r="G10" s="23">
        <f t="shared" si="1"/>
        <v>0</v>
      </c>
      <c r="H10" s="23">
        <f t="shared" si="1"/>
        <v>123961</v>
      </c>
      <c r="I10" s="7"/>
      <c r="J10" s="8" t="s">
        <v>8</v>
      </c>
    </row>
    <row r="11" spans="1:14" s="11" customFormat="1" ht="29.25" customHeight="1" x14ac:dyDescent="0.25">
      <c r="A11" s="13"/>
      <c r="B11" s="9" t="s">
        <v>5</v>
      </c>
      <c r="C11" s="24">
        <v>123961</v>
      </c>
      <c r="D11" s="25"/>
      <c r="E11" s="26"/>
      <c r="F11" s="24"/>
      <c r="G11" s="24"/>
      <c r="H11" s="24">
        <f>C11+D11-E11</f>
        <v>123961</v>
      </c>
      <c r="I11" s="18"/>
      <c r="J11" s="10"/>
      <c r="L11" s="28"/>
    </row>
    <row r="12" spans="1:14" s="5" customFormat="1" ht="38.25" customHeight="1" x14ac:dyDescent="0.25">
      <c r="A12" s="34">
        <v>2</v>
      </c>
      <c r="B12" s="6" t="s">
        <v>19</v>
      </c>
      <c r="C12" s="23">
        <f>SUM(C13:C17)</f>
        <v>101436.0155046</v>
      </c>
      <c r="D12" s="23">
        <f t="shared" ref="D12:H12" si="2">SUM(D13:D17)</f>
        <v>3150</v>
      </c>
      <c r="E12" s="23">
        <f t="shared" si="2"/>
        <v>4109.3030419500001</v>
      </c>
      <c r="F12" s="23">
        <f t="shared" si="2"/>
        <v>723.09162669644252</v>
      </c>
      <c r="G12" s="23">
        <f t="shared" si="2"/>
        <v>0</v>
      </c>
      <c r="H12" s="23">
        <f t="shared" si="2"/>
        <v>100476.71246265</v>
      </c>
      <c r="I12" s="8"/>
      <c r="J12" s="8"/>
    </row>
    <row r="13" spans="1:14" s="64" customFormat="1" ht="32.25" customHeight="1" x14ac:dyDescent="0.25">
      <c r="A13" s="61"/>
      <c r="B13" s="62" t="s">
        <v>6</v>
      </c>
      <c r="C13" s="25">
        <v>35919.608500000002</v>
      </c>
      <c r="D13" s="27"/>
      <c r="E13" s="25">
        <v>1135.4574</v>
      </c>
      <c r="F13" s="25">
        <v>3.5956151000000003</v>
      </c>
      <c r="G13" s="25"/>
      <c r="H13" s="25">
        <f t="shared" ref="H13:H17" si="3">C13+D13-E13</f>
        <v>34784.151100000003</v>
      </c>
      <c r="I13" s="63"/>
      <c r="J13" s="63"/>
    </row>
    <row r="14" spans="1:14" s="67" customFormat="1" ht="36" customHeight="1" x14ac:dyDescent="0.25">
      <c r="A14" s="65"/>
      <c r="B14" s="62" t="s">
        <v>9</v>
      </c>
      <c r="C14" s="25">
        <v>43494.629092000003</v>
      </c>
      <c r="D14" s="27"/>
      <c r="E14" s="25">
        <v>1651.1282190000002</v>
      </c>
      <c r="F14" s="29">
        <v>473.49688371947377</v>
      </c>
      <c r="G14" s="25"/>
      <c r="H14" s="25">
        <f t="shared" si="3"/>
        <v>41843.500873000005</v>
      </c>
      <c r="I14" s="66"/>
      <c r="J14" s="66"/>
      <c r="M14" s="64"/>
      <c r="N14" s="64"/>
    </row>
    <row r="15" spans="1:14" s="67" customFormat="1" ht="35.25" customHeight="1" x14ac:dyDescent="0.25">
      <c r="A15" s="65"/>
      <c r="B15" s="62" t="s">
        <v>10</v>
      </c>
      <c r="C15" s="25">
        <v>8436.9029125999987</v>
      </c>
      <c r="D15" s="27">
        <v>3150</v>
      </c>
      <c r="E15" s="25">
        <v>1005.09255</v>
      </c>
      <c r="F15" s="29">
        <v>105.00756248325</v>
      </c>
      <c r="G15" s="25"/>
      <c r="H15" s="25">
        <f t="shared" si="3"/>
        <v>10581.810362599999</v>
      </c>
      <c r="I15" s="66"/>
      <c r="J15" s="66"/>
      <c r="K15" s="68"/>
      <c r="M15" s="64"/>
      <c r="N15" s="64"/>
    </row>
    <row r="16" spans="1:14" s="67" customFormat="1" ht="34.5" customHeight="1" x14ac:dyDescent="0.25">
      <c r="A16" s="74"/>
      <c r="B16" s="62" t="s">
        <v>13</v>
      </c>
      <c r="C16" s="25">
        <v>12984.875</v>
      </c>
      <c r="D16" s="25"/>
      <c r="E16" s="25">
        <v>317.62487295</v>
      </c>
      <c r="F16" s="29">
        <v>135.45838062920967</v>
      </c>
      <c r="G16" s="25"/>
      <c r="H16" s="25">
        <f t="shared" si="3"/>
        <v>12667.25012705</v>
      </c>
    </row>
    <row r="17" spans="1:8" s="77" customFormat="1" ht="31.5" x14ac:dyDescent="0.25">
      <c r="A17" s="75"/>
      <c r="B17" s="62" t="s">
        <v>21</v>
      </c>
      <c r="C17" s="112">
        <v>600</v>
      </c>
      <c r="D17" s="27">
        <v>0</v>
      </c>
      <c r="E17" s="76"/>
      <c r="F17" s="76">
        <v>5.5331847645090573</v>
      </c>
      <c r="G17" s="25"/>
      <c r="H17" s="25">
        <f t="shared" si="3"/>
        <v>600</v>
      </c>
    </row>
    <row r="18" spans="1:8" ht="18.75" customHeight="1" x14ac:dyDescent="0.25">
      <c r="A18" s="14"/>
    </row>
    <row r="19" spans="1:8" ht="29.25" customHeight="1" x14ac:dyDescent="0.25"/>
    <row r="20" spans="1:8" ht="19.5" customHeight="1" x14ac:dyDescent="0.25"/>
    <row r="21" spans="1:8" ht="29.25" customHeight="1" x14ac:dyDescent="0.25"/>
    <row r="22" spans="1:8" ht="19.5" customHeight="1" x14ac:dyDescent="0.25"/>
    <row r="23" spans="1:8" s="78" customFormat="1" ht="18.75" customHeight="1" x14ac:dyDescent="0.25">
      <c r="C23" s="79"/>
      <c r="D23" s="80"/>
      <c r="E23" s="79"/>
      <c r="F23" s="79"/>
      <c r="G23" s="79"/>
      <c r="H23" s="79"/>
    </row>
    <row r="27" spans="1:8" ht="18.75" customHeight="1" x14ac:dyDescent="0.25"/>
    <row r="28" spans="1:8" ht="15.75" customHeight="1" x14ac:dyDescent="0.25"/>
    <row r="30" spans="1:8" ht="27" customHeight="1" x14ac:dyDescent="0.25"/>
    <row r="31" spans="1:8" ht="29.25" customHeight="1" x14ac:dyDescent="0.25"/>
  </sheetData>
  <mergeCells count="8">
    <mergeCell ref="G1:H1"/>
    <mergeCell ref="A2:H2"/>
    <mergeCell ref="A3:H3"/>
    <mergeCell ref="E5:H5"/>
    <mergeCell ref="A6:A7"/>
    <mergeCell ref="B6:B7"/>
    <mergeCell ref="D6:D7"/>
    <mergeCell ref="E6:G6"/>
  </mergeCells>
  <pageMargins left="0.7" right="0.45" top="0.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topLeftCell="A29" workbookViewId="0">
      <selection activeCell="F23" sqref="F23"/>
    </sheetView>
  </sheetViews>
  <sheetFormatPr defaultRowHeight="15" x14ac:dyDescent="0.25"/>
  <cols>
    <col min="1" max="1" width="2.75" style="51" customWidth="1"/>
    <col min="2" max="2" width="17.875" style="56" customWidth="1"/>
    <col min="3" max="3" width="4.125" style="51" customWidth="1"/>
    <col min="4" max="4" width="9.125" style="55" customWidth="1"/>
    <col min="5" max="5" width="5.375" style="56" customWidth="1"/>
    <col min="6" max="6" width="3.875" style="56" customWidth="1"/>
    <col min="7" max="7" width="13.125" style="56" customWidth="1"/>
    <col min="8" max="9" width="7.625" style="56" customWidth="1"/>
    <col min="10" max="10" width="3.75" style="56" customWidth="1"/>
    <col min="11" max="11" width="6.625" style="56" customWidth="1"/>
    <col min="12" max="12" width="7.625" style="56" customWidth="1"/>
    <col min="13" max="13" width="7.375" style="56" customWidth="1"/>
    <col min="14" max="14" width="3.375" style="56" customWidth="1"/>
    <col min="15" max="15" width="7.875" style="56" customWidth="1"/>
    <col min="16" max="16" width="8.875" style="56" customWidth="1"/>
    <col min="17" max="17" width="7.5" style="56" customWidth="1"/>
    <col min="18" max="18" width="3.125" style="56" customWidth="1"/>
    <col min="19" max="19" width="7.375" style="56" customWidth="1"/>
    <col min="20" max="21" width="8.625" style="56" customWidth="1"/>
    <col min="22" max="22" width="3.5" style="56" customWidth="1"/>
    <col min="23" max="23" width="7.25" style="56" customWidth="1"/>
    <col min="24" max="24" width="8.75" style="56" customWidth="1"/>
    <col min="25" max="25" width="8.5" style="56" customWidth="1"/>
    <col min="26" max="26" width="3.25" style="56" customWidth="1"/>
    <col min="27" max="27" width="7.5" style="56" customWidth="1"/>
    <col min="28" max="28" width="9.25" style="56" bestFit="1" customWidth="1"/>
    <col min="29" max="16384" width="9" style="56"/>
  </cols>
  <sheetData>
    <row r="1" spans="1:28" ht="18.75" x14ac:dyDescent="0.25">
      <c r="B1" s="52"/>
      <c r="C1" s="53"/>
      <c r="D1" s="54"/>
      <c r="E1" s="52"/>
      <c r="F1" s="52"/>
      <c r="G1" s="52"/>
      <c r="H1" s="52"/>
      <c r="I1" s="52"/>
      <c r="J1" s="52"/>
      <c r="K1" s="32"/>
      <c r="Y1" s="145" t="s">
        <v>113</v>
      </c>
      <c r="Z1" s="145"/>
      <c r="AA1" s="145"/>
    </row>
    <row r="2" spans="1:28" ht="18.75" x14ac:dyDescent="0.25">
      <c r="A2" s="106" t="s">
        <v>39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row>
    <row r="3" spans="1:28" ht="18.75" x14ac:dyDescent="0.25">
      <c r="A3" s="107" t="s">
        <v>80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row>
    <row r="4" spans="1:28" ht="15.75" x14ac:dyDescent="0.25">
      <c r="J4" s="57"/>
      <c r="K4" s="57"/>
      <c r="U4" s="33"/>
      <c r="Y4" s="33"/>
    </row>
    <row r="5" spans="1:28" x14ac:dyDescent="0.25">
      <c r="U5" s="33"/>
      <c r="Y5" s="33" t="s">
        <v>11</v>
      </c>
    </row>
    <row r="6" spans="1:28" s="58" customFormat="1" ht="21" customHeight="1" x14ac:dyDescent="0.25">
      <c r="A6" s="113" t="s">
        <v>46</v>
      </c>
      <c r="B6" s="113" t="s">
        <v>27</v>
      </c>
      <c r="C6" s="113" t="s">
        <v>28</v>
      </c>
      <c r="D6" s="114" t="s">
        <v>40</v>
      </c>
      <c r="E6" s="113" t="s">
        <v>41</v>
      </c>
      <c r="F6" s="113"/>
      <c r="G6" s="113" t="s">
        <v>47</v>
      </c>
      <c r="H6" s="115" t="s">
        <v>45</v>
      </c>
      <c r="I6" s="115"/>
      <c r="J6" s="115"/>
      <c r="K6" s="115"/>
      <c r="L6" s="115"/>
      <c r="M6" s="115"/>
      <c r="N6" s="115"/>
      <c r="O6" s="115"/>
      <c r="P6" s="115"/>
      <c r="Q6" s="115"/>
      <c r="R6" s="115"/>
      <c r="S6" s="115"/>
      <c r="T6" s="115"/>
      <c r="U6" s="115"/>
      <c r="V6" s="115"/>
      <c r="W6" s="115"/>
      <c r="X6" s="115"/>
      <c r="Y6" s="115"/>
      <c r="Z6" s="115"/>
      <c r="AA6" s="115"/>
    </row>
    <row r="7" spans="1:28" s="58" customFormat="1" ht="20.25" customHeight="1" x14ac:dyDescent="0.25">
      <c r="A7" s="113"/>
      <c r="B7" s="113"/>
      <c r="C7" s="113"/>
      <c r="D7" s="114"/>
      <c r="E7" s="113"/>
      <c r="F7" s="113"/>
      <c r="G7" s="113"/>
      <c r="H7" s="113" t="s">
        <v>44</v>
      </c>
      <c r="I7" s="113"/>
      <c r="J7" s="113"/>
      <c r="K7" s="113"/>
      <c r="L7" s="113" t="s">
        <v>29</v>
      </c>
      <c r="M7" s="113"/>
      <c r="N7" s="113"/>
      <c r="O7" s="113"/>
      <c r="P7" s="113" t="s">
        <v>30</v>
      </c>
      <c r="Q7" s="113"/>
      <c r="R7" s="113"/>
      <c r="S7" s="113"/>
      <c r="T7" s="113" t="s">
        <v>31</v>
      </c>
      <c r="U7" s="113"/>
      <c r="V7" s="113"/>
      <c r="W7" s="113"/>
      <c r="X7" s="113" t="s">
        <v>64</v>
      </c>
      <c r="Y7" s="113"/>
      <c r="Z7" s="113"/>
      <c r="AA7" s="113"/>
    </row>
    <row r="8" spans="1:28" s="58" customFormat="1" ht="19.5" customHeight="1" x14ac:dyDescent="0.25">
      <c r="A8" s="113"/>
      <c r="B8" s="113"/>
      <c r="C8" s="113"/>
      <c r="D8" s="114"/>
      <c r="E8" s="113" t="s">
        <v>42</v>
      </c>
      <c r="F8" s="113" t="s">
        <v>43</v>
      </c>
      <c r="G8" s="113"/>
      <c r="H8" s="116" t="s">
        <v>32</v>
      </c>
      <c r="I8" s="113" t="s">
        <v>33</v>
      </c>
      <c r="J8" s="113"/>
      <c r="K8" s="113" t="s">
        <v>34</v>
      </c>
      <c r="L8" s="116" t="s">
        <v>32</v>
      </c>
      <c r="M8" s="113" t="s">
        <v>33</v>
      </c>
      <c r="N8" s="113"/>
      <c r="O8" s="113" t="s">
        <v>34</v>
      </c>
      <c r="P8" s="116" t="s">
        <v>32</v>
      </c>
      <c r="Q8" s="113" t="s">
        <v>33</v>
      </c>
      <c r="R8" s="113"/>
      <c r="S8" s="113" t="s">
        <v>34</v>
      </c>
      <c r="T8" s="116" t="s">
        <v>32</v>
      </c>
      <c r="U8" s="113" t="s">
        <v>33</v>
      </c>
      <c r="V8" s="113"/>
      <c r="W8" s="113" t="s">
        <v>34</v>
      </c>
      <c r="X8" s="116" t="s">
        <v>32</v>
      </c>
      <c r="Y8" s="113" t="s">
        <v>33</v>
      </c>
      <c r="Z8" s="113"/>
      <c r="AA8" s="113" t="s">
        <v>34</v>
      </c>
    </row>
    <row r="9" spans="1:28" s="58" customFormat="1" ht="33.75" customHeight="1" x14ac:dyDescent="0.25">
      <c r="A9" s="113"/>
      <c r="B9" s="113"/>
      <c r="C9" s="113"/>
      <c r="D9" s="114"/>
      <c r="E9" s="113"/>
      <c r="F9" s="113"/>
      <c r="G9" s="113"/>
      <c r="H9" s="116"/>
      <c r="I9" s="117" t="s">
        <v>35</v>
      </c>
      <c r="J9" s="117" t="s">
        <v>36</v>
      </c>
      <c r="K9" s="113"/>
      <c r="L9" s="116"/>
      <c r="M9" s="117" t="s">
        <v>35</v>
      </c>
      <c r="N9" s="117" t="s">
        <v>36</v>
      </c>
      <c r="O9" s="113"/>
      <c r="P9" s="116"/>
      <c r="Q9" s="117" t="s">
        <v>35</v>
      </c>
      <c r="R9" s="117" t="s">
        <v>36</v>
      </c>
      <c r="S9" s="113"/>
      <c r="T9" s="116"/>
      <c r="U9" s="117" t="s">
        <v>35</v>
      </c>
      <c r="V9" s="117" t="s">
        <v>36</v>
      </c>
      <c r="W9" s="113"/>
      <c r="X9" s="116"/>
      <c r="Y9" s="117" t="s">
        <v>35</v>
      </c>
      <c r="Z9" s="117" t="s">
        <v>36</v>
      </c>
      <c r="AA9" s="113"/>
    </row>
    <row r="10" spans="1:28" s="118" customFormat="1" ht="24" customHeight="1" x14ac:dyDescent="0.25">
      <c r="A10" s="60">
        <v>1</v>
      </c>
      <c r="B10" s="60">
        <v>2</v>
      </c>
      <c r="C10" s="60">
        <v>3</v>
      </c>
      <c r="D10" s="60">
        <v>4</v>
      </c>
      <c r="E10" s="60">
        <v>5</v>
      </c>
      <c r="F10" s="60">
        <v>6</v>
      </c>
      <c r="G10" s="60">
        <v>7</v>
      </c>
      <c r="H10" s="60">
        <v>8</v>
      </c>
      <c r="I10" s="60">
        <v>9</v>
      </c>
      <c r="J10" s="60">
        <v>10</v>
      </c>
      <c r="K10" s="60">
        <v>11</v>
      </c>
      <c r="L10" s="60">
        <v>12</v>
      </c>
      <c r="M10" s="60">
        <v>13</v>
      </c>
      <c r="N10" s="60">
        <v>14</v>
      </c>
      <c r="O10" s="60">
        <v>15</v>
      </c>
      <c r="P10" s="60">
        <v>16</v>
      </c>
      <c r="Q10" s="60">
        <v>17</v>
      </c>
      <c r="R10" s="60">
        <v>18</v>
      </c>
      <c r="S10" s="60">
        <v>19</v>
      </c>
      <c r="T10" s="60">
        <v>20</v>
      </c>
      <c r="U10" s="60">
        <v>21</v>
      </c>
      <c r="V10" s="60">
        <v>22</v>
      </c>
      <c r="W10" s="60">
        <v>23</v>
      </c>
      <c r="X10" s="60">
        <v>24</v>
      </c>
      <c r="Y10" s="60">
        <v>25</v>
      </c>
      <c r="Z10" s="60">
        <v>26</v>
      </c>
      <c r="AA10" s="60">
        <v>27</v>
      </c>
    </row>
    <row r="11" spans="1:28" s="125" customFormat="1" ht="26.25" customHeight="1" x14ac:dyDescent="0.25">
      <c r="A11" s="122"/>
      <c r="B11" s="122" t="s">
        <v>99</v>
      </c>
      <c r="C11" s="122"/>
      <c r="D11" s="123">
        <f>D12+D24</f>
        <v>9417972.8590000011</v>
      </c>
      <c r="E11" s="123"/>
      <c r="F11" s="123"/>
      <c r="G11" s="123"/>
      <c r="H11" s="123">
        <f t="shared" ref="H11:AA11" si="0">H12+H24</f>
        <v>483862.408</v>
      </c>
      <c r="I11" s="123">
        <f t="shared" si="0"/>
        <v>434192.38899999997</v>
      </c>
      <c r="J11" s="123"/>
      <c r="K11" s="123">
        <f t="shared" si="0"/>
        <v>49670.019</v>
      </c>
      <c r="L11" s="123">
        <f t="shared" si="0"/>
        <v>895628.01699999999</v>
      </c>
      <c r="M11" s="123">
        <f t="shared" si="0"/>
        <v>761567.78500000003</v>
      </c>
      <c r="N11" s="123"/>
      <c r="O11" s="123">
        <f t="shared" si="0"/>
        <v>134060.23199999999</v>
      </c>
      <c r="P11" s="123">
        <f t="shared" si="0"/>
        <v>1185587.5</v>
      </c>
      <c r="Q11" s="123">
        <f t="shared" si="0"/>
        <v>813836.5</v>
      </c>
      <c r="R11" s="123"/>
      <c r="S11" s="123">
        <f t="shared" si="0"/>
        <v>371751</v>
      </c>
      <c r="T11" s="123">
        <f t="shared" si="0"/>
        <v>1605163.5</v>
      </c>
      <c r="U11" s="123">
        <f t="shared" si="0"/>
        <v>1071763.7</v>
      </c>
      <c r="V11" s="123"/>
      <c r="W11" s="123">
        <f t="shared" si="0"/>
        <v>477889.56</v>
      </c>
      <c r="X11" s="123">
        <f t="shared" si="0"/>
        <v>1624246.5</v>
      </c>
      <c r="Y11" s="123">
        <f t="shared" si="0"/>
        <v>1071431.8999999999</v>
      </c>
      <c r="Z11" s="123"/>
      <c r="AA11" s="123">
        <f t="shared" si="0"/>
        <v>552814.60000000009</v>
      </c>
      <c r="AB11" s="124"/>
    </row>
    <row r="12" spans="1:28" s="129" customFormat="1" ht="31.5" customHeight="1" x14ac:dyDescent="0.25">
      <c r="A12" s="122" t="s">
        <v>48</v>
      </c>
      <c r="B12" s="126" t="s">
        <v>109</v>
      </c>
      <c r="C12" s="127"/>
      <c r="D12" s="128">
        <f>SUM(D13:D23)</f>
        <v>3331508.8590000002</v>
      </c>
      <c r="E12" s="128"/>
      <c r="F12" s="128"/>
      <c r="G12" s="128"/>
      <c r="H12" s="128">
        <f t="shared" ref="H12:AA12" si="1">SUM(H13:H23)</f>
        <v>483862.408</v>
      </c>
      <c r="I12" s="128">
        <f t="shared" si="1"/>
        <v>434192.38899999997</v>
      </c>
      <c r="J12" s="128"/>
      <c r="K12" s="128">
        <f t="shared" si="1"/>
        <v>49670.019</v>
      </c>
      <c r="L12" s="128">
        <f t="shared" si="1"/>
        <v>663178.01699999999</v>
      </c>
      <c r="M12" s="128">
        <f t="shared" si="1"/>
        <v>575607.78500000003</v>
      </c>
      <c r="N12" s="128"/>
      <c r="O12" s="128">
        <f t="shared" si="1"/>
        <v>87570.231999999989</v>
      </c>
      <c r="P12" s="128">
        <f t="shared" si="1"/>
        <v>163000</v>
      </c>
      <c r="Q12" s="128">
        <f t="shared" si="1"/>
        <v>122800</v>
      </c>
      <c r="R12" s="128"/>
      <c r="S12" s="128">
        <f t="shared" si="1"/>
        <v>40200</v>
      </c>
      <c r="T12" s="128">
        <f t="shared" si="1"/>
        <v>170953</v>
      </c>
      <c r="U12" s="128">
        <f t="shared" si="1"/>
        <v>133753.4</v>
      </c>
      <c r="V12" s="128"/>
      <c r="W12" s="128">
        <f t="shared" si="1"/>
        <v>37199.599999999999</v>
      </c>
      <c r="X12" s="128">
        <f t="shared" si="1"/>
        <v>61000</v>
      </c>
      <c r="Y12" s="128">
        <f t="shared" si="1"/>
        <v>56000</v>
      </c>
      <c r="Z12" s="128"/>
      <c r="AA12" s="128">
        <f t="shared" si="1"/>
        <v>5000</v>
      </c>
    </row>
    <row r="13" spans="1:28" s="58" customFormat="1" ht="50.25" customHeight="1" x14ac:dyDescent="0.25">
      <c r="A13" s="48">
        <v>1</v>
      </c>
      <c r="B13" s="38" t="s">
        <v>76</v>
      </c>
      <c r="C13" s="48" t="s">
        <v>38</v>
      </c>
      <c r="D13" s="130">
        <v>686425.2</v>
      </c>
      <c r="E13" s="131">
        <v>90</v>
      </c>
      <c r="F13" s="131">
        <v>10</v>
      </c>
      <c r="G13" s="132"/>
      <c r="H13" s="130">
        <v>170000</v>
      </c>
      <c r="I13" s="130">
        <v>153000</v>
      </c>
      <c r="J13" s="130"/>
      <c r="K13" s="130">
        <v>17000</v>
      </c>
      <c r="L13" s="130">
        <v>65080</v>
      </c>
      <c r="M13" s="130">
        <v>58580</v>
      </c>
      <c r="N13" s="130"/>
      <c r="O13" s="130">
        <v>6500</v>
      </c>
      <c r="P13" s="130"/>
      <c r="Q13" s="130"/>
      <c r="R13" s="130"/>
      <c r="S13" s="130"/>
      <c r="T13" s="130"/>
      <c r="U13" s="130"/>
      <c r="V13" s="130"/>
      <c r="W13" s="130"/>
      <c r="X13" s="131"/>
      <c r="Y13" s="131"/>
      <c r="Z13" s="131"/>
      <c r="AA13" s="131"/>
    </row>
    <row r="14" spans="1:28" s="58" customFormat="1" ht="54.75" customHeight="1" x14ac:dyDescent="0.25">
      <c r="A14" s="48">
        <v>2</v>
      </c>
      <c r="B14" s="38" t="s">
        <v>50</v>
      </c>
      <c r="C14" s="48" t="s">
        <v>38</v>
      </c>
      <c r="D14" s="130">
        <v>246282</v>
      </c>
      <c r="E14" s="131">
        <v>90</v>
      </c>
      <c r="F14" s="131">
        <v>10</v>
      </c>
      <c r="G14" s="132"/>
      <c r="H14" s="130">
        <v>15833.407999999999</v>
      </c>
      <c r="I14" s="130">
        <v>15080.388999999999</v>
      </c>
      <c r="J14" s="130"/>
      <c r="K14" s="130">
        <v>753.01900000000001</v>
      </c>
      <c r="L14" s="130">
        <v>48646.017000000007</v>
      </c>
      <c r="M14" s="130">
        <v>43675.585000000006</v>
      </c>
      <c r="N14" s="130"/>
      <c r="O14" s="130">
        <v>4970.4320000000007</v>
      </c>
      <c r="P14" s="130">
        <v>0</v>
      </c>
      <c r="Q14" s="130"/>
      <c r="R14" s="130"/>
      <c r="S14" s="130"/>
      <c r="T14" s="130">
        <v>0</v>
      </c>
      <c r="U14" s="130"/>
      <c r="V14" s="130"/>
      <c r="W14" s="130"/>
      <c r="X14" s="131"/>
      <c r="Y14" s="131"/>
      <c r="Z14" s="131"/>
      <c r="AA14" s="131"/>
    </row>
    <row r="15" spans="1:28" s="59" customFormat="1" ht="48.75" customHeight="1" x14ac:dyDescent="0.25">
      <c r="A15" s="48">
        <v>3</v>
      </c>
      <c r="B15" s="39" t="s">
        <v>37</v>
      </c>
      <c r="C15" s="46" t="s">
        <v>38</v>
      </c>
      <c r="D15" s="133">
        <f>H15+L15+P15+T15</f>
        <v>204838</v>
      </c>
      <c r="E15" s="134">
        <v>60</v>
      </c>
      <c r="F15" s="134">
        <v>40</v>
      </c>
      <c r="G15" s="132"/>
      <c r="H15" s="135">
        <v>38793</v>
      </c>
      <c r="I15" s="135">
        <v>23276</v>
      </c>
      <c r="J15" s="135"/>
      <c r="K15" s="135">
        <v>15517</v>
      </c>
      <c r="L15" s="135">
        <v>58000</v>
      </c>
      <c r="M15" s="135">
        <v>34800</v>
      </c>
      <c r="N15" s="135"/>
      <c r="O15" s="135">
        <v>23200</v>
      </c>
      <c r="P15" s="135">
        <v>58000</v>
      </c>
      <c r="Q15" s="135">
        <v>34800</v>
      </c>
      <c r="R15" s="135"/>
      <c r="S15" s="135">
        <v>23200</v>
      </c>
      <c r="T15" s="135">
        <v>50045</v>
      </c>
      <c r="U15" s="135">
        <v>30027</v>
      </c>
      <c r="V15" s="135"/>
      <c r="W15" s="135">
        <v>20018</v>
      </c>
      <c r="X15" s="135"/>
      <c r="Y15" s="135"/>
      <c r="Z15" s="135"/>
      <c r="AA15" s="130"/>
    </row>
    <row r="16" spans="1:28" s="58" customFormat="1" ht="48" customHeight="1" x14ac:dyDescent="0.25">
      <c r="A16" s="48">
        <v>4</v>
      </c>
      <c r="B16" s="38" t="s">
        <v>51</v>
      </c>
      <c r="C16" s="47" t="s">
        <v>38</v>
      </c>
      <c r="D16" s="133">
        <f>395544-56212</f>
        <v>339332</v>
      </c>
      <c r="E16" s="136">
        <v>85</v>
      </c>
      <c r="F16" s="136">
        <v>15</v>
      </c>
      <c r="G16" s="132"/>
      <c r="H16" s="130">
        <v>100000</v>
      </c>
      <c r="I16" s="130">
        <v>85000</v>
      </c>
      <c r="J16" s="130"/>
      <c r="K16" s="130">
        <v>15000</v>
      </c>
      <c r="L16" s="130">
        <v>239332</v>
      </c>
      <c r="M16" s="130">
        <v>203432.19999999998</v>
      </c>
      <c r="N16" s="130"/>
      <c r="O16" s="130">
        <v>35899.799999999996</v>
      </c>
      <c r="P16" s="130"/>
      <c r="Q16" s="130"/>
      <c r="R16" s="130"/>
      <c r="S16" s="130"/>
      <c r="T16" s="130"/>
      <c r="U16" s="130"/>
      <c r="V16" s="130"/>
      <c r="W16" s="130"/>
      <c r="X16" s="131"/>
      <c r="Y16" s="131"/>
      <c r="Z16" s="131"/>
      <c r="AA16" s="131"/>
    </row>
    <row r="17" spans="1:30" s="58" customFormat="1" ht="149.25" customHeight="1" x14ac:dyDescent="0.25">
      <c r="A17" s="48">
        <v>5</v>
      </c>
      <c r="B17" s="38" t="s">
        <v>52</v>
      </c>
      <c r="C17" s="47" t="s">
        <v>65</v>
      </c>
      <c r="D17" s="133">
        <v>180908</v>
      </c>
      <c r="E17" s="137">
        <v>80</v>
      </c>
      <c r="F17" s="137">
        <v>20</v>
      </c>
      <c r="G17" s="132"/>
      <c r="H17" s="130"/>
      <c r="I17" s="130"/>
      <c r="J17" s="130"/>
      <c r="K17" s="130"/>
      <c r="L17" s="130">
        <v>60000</v>
      </c>
      <c r="M17" s="130">
        <v>48000</v>
      </c>
      <c r="N17" s="130"/>
      <c r="O17" s="130">
        <v>12000</v>
      </c>
      <c r="P17" s="130">
        <v>60000</v>
      </c>
      <c r="Q17" s="130">
        <v>48000</v>
      </c>
      <c r="R17" s="130"/>
      <c r="S17" s="130">
        <v>12000</v>
      </c>
      <c r="T17" s="130">
        <v>60908</v>
      </c>
      <c r="U17" s="130">
        <v>48726.400000000001</v>
      </c>
      <c r="V17" s="130"/>
      <c r="W17" s="130">
        <v>12181.6</v>
      </c>
      <c r="X17" s="131"/>
      <c r="Y17" s="131"/>
      <c r="Z17" s="131"/>
      <c r="AA17" s="131"/>
    </row>
    <row r="18" spans="1:30" s="58" customFormat="1" ht="94.5" customHeight="1" x14ac:dyDescent="0.25">
      <c r="A18" s="48">
        <v>6</v>
      </c>
      <c r="B18" s="38" t="s">
        <v>53</v>
      </c>
      <c r="C18" s="48" t="s">
        <v>79</v>
      </c>
      <c r="D18" s="130">
        <v>219699</v>
      </c>
      <c r="E18" s="131">
        <v>80</v>
      </c>
      <c r="F18" s="131">
        <v>20</v>
      </c>
      <c r="G18" s="132" t="s">
        <v>67</v>
      </c>
      <c r="H18" s="130"/>
      <c r="I18" s="130"/>
      <c r="J18" s="130"/>
      <c r="K18" s="130"/>
      <c r="L18" s="130"/>
      <c r="M18" s="130"/>
      <c r="N18" s="130"/>
      <c r="O18" s="130"/>
      <c r="P18" s="130"/>
      <c r="Q18" s="130"/>
      <c r="R18" s="130"/>
      <c r="S18" s="130"/>
      <c r="T18" s="130"/>
      <c r="U18" s="130"/>
      <c r="V18" s="130"/>
      <c r="W18" s="130"/>
      <c r="X18" s="131"/>
      <c r="Y18" s="131"/>
      <c r="Z18" s="131"/>
      <c r="AA18" s="131"/>
    </row>
    <row r="19" spans="1:30" s="58" customFormat="1" ht="129" customHeight="1" x14ac:dyDescent="0.25">
      <c r="A19" s="48">
        <v>7</v>
      </c>
      <c r="B19" s="49" t="s">
        <v>77</v>
      </c>
      <c r="C19" s="47" t="s">
        <v>68</v>
      </c>
      <c r="D19" s="130">
        <v>678518.65899999999</v>
      </c>
      <c r="E19" s="130"/>
      <c r="F19" s="134" t="s">
        <v>78</v>
      </c>
      <c r="G19" s="132"/>
      <c r="H19" s="130">
        <f>I19+J19+K19</f>
        <v>40400</v>
      </c>
      <c r="I19" s="130">
        <v>39000</v>
      </c>
      <c r="J19" s="130"/>
      <c r="K19" s="130">
        <v>1400</v>
      </c>
      <c r="L19" s="138">
        <f>M19+N19+O19</f>
        <v>115000</v>
      </c>
      <c r="M19" s="130">
        <v>110000</v>
      </c>
      <c r="N19" s="130"/>
      <c r="O19" s="130">
        <v>5000</v>
      </c>
      <c r="P19" s="130">
        <f>Q19+R19+S19</f>
        <v>45000</v>
      </c>
      <c r="Q19" s="130">
        <v>40000</v>
      </c>
      <c r="R19" s="130"/>
      <c r="S19" s="130">
        <v>5000</v>
      </c>
      <c r="T19" s="130">
        <f>U19+V19+W19</f>
        <v>60000</v>
      </c>
      <c r="U19" s="130">
        <v>55000</v>
      </c>
      <c r="V19" s="130"/>
      <c r="W19" s="130">
        <v>5000</v>
      </c>
      <c r="X19" s="130">
        <f>Y19+Z19+AA19</f>
        <v>61000</v>
      </c>
      <c r="Y19" s="130">
        <v>56000</v>
      </c>
      <c r="Z19" s="130"/>
      <c r="AA19" s="130">
        <v>5000</v>
      </c>
    </row>
    <row r="20" spans="1:30" s="58" customFormat="1" ht="51.75" customHeight="1" x14ac:dyDescent="0.25">
      <c r="A20" s="48">
        <v>8</v>
      </c>
      <c r="B20" s="38" t="s">
        <v>54</v>
      </c>
      <c r="C20" s="47" t="s">
        <v>114</v>
      </c>
      <c r="D20" s="50">
        <v>293546</v>
      </c>
      <c r="E20" s="131">
        <v>100</v>
      </c>
      <c r="F20" s="131"/>
      <c r="G20" s="132"/>
      <c r="H20" s="130">
        <v>18000</v>
      </c>
      <c r="I20" s="130">
        <v>18000</v>
      </c>
      <c r="J20" s="130"/>
      <c r="K20" s="130"/>
      <c r="L20" s="130">
        <v>42470</v>
      </c>
      <c r="M20" s="130">
        <v>42470</v>
      </c>
      <c r="N20" s="130"/>
      <c r="O20" s="130"/>
      <c r="P20" s="130"/>
      <c r="Q20" s="130"/>
      <c r="R20" s="130"/>
      <c r="S20" s="130"/>
      <c r="T20" s="130"/>
      <c r="U20" s="130"/>
      <c r="V20" s="130"/>
      <c r="W20" s="130"/>
      <c r="X20" s="131"/>
      <c r="Y20" s="131"/>
      <c r="Z20" s="131"/>
      <c r="AA20" s="131"/>
    </row>
    <row r="21" spans="1:30" s="58" customFormat="1" ht="51" customHeight="1" x14ac:dyDescent="0.25">
      <c r="A21" s="48">
        <v>9</v>
      </c>
      <c r="B21" s="38" t="s">
        <v>56</v>
      </c>
      <c r="C21" s="48" t="s">
        <v>38</v>
      </c>
      <c r="D21" s="50">
        <v>397457</v>
      </c>
      <c r="E21" s="131">
        <v>100</v>
      </c>
      <c r="F21" s="131"/>
      <c r="G21" s="132"/>
      <c r="H21" s="130">
        <v>62889</v>
      </c>
      <c r="I21" s="130">
        <v>62889</v>
      </c>
      <c r="J21" s="130"/>
      <c r="K21" s="130"/>
      <c r="L21" s="130"/>
      <c r="M21" s="130"/>
      <c r="N21" s="130"/>
      <c r="O21" s="130"/>
      <c r="P21" s="130"/>
      <c r="Q21" s="130"/>
      <c r="R21" s="130"/>
      <c r="S21" s="130"/>
      <c r="T21" s="130"/>
      <c r="U21" s="130"/>
      <c r="V21" s="130"/>
      <c r="W21" s="130"/>
      <c r="X21" s="131"/>
      <c r="Y21" s="131"/>
      <c r="Z21" s="131"/>
      <c r="AA21" s="131"/>
    </row>
    <row r="22" spans="1:30" s="58" customFormat="1" ht="67.5" customHeight="1" x14ac:dyDescent="0.25">
      <c r="A22" s="48">
        <v>10</v>
      </c>
      <c r="B22" s="38" t="s">
        <v>57</v>
      </c>
      <c r="C22" s="146" t="s">
        <v>69</v>
      </c>
      <c r="D22" s="133">
        <v>64650</v>
      </c>
      <c r="E22" s="137">
        <v>100</v>
      </c>
      <c r="F22" s="131"/>
      <c r="G22" s="132"/>
      <c r="H22" s="130">
        <v>30000</v>
      </c>
      <c r="I22" s="130">
        <v>30000</v>
      </c>
      <c r="J22" s="130"/>
      <c r="K22" s="130"/>
      <c r="L22" s="130">
        <v>34650</v>
      </c>
      <c r="M22" s="130">
        <v>34650</v>
      </c>
      <c r="N22" s="130"/>
      <c r="O22" s="130"/>
      <c r="P22" s="130"/>
      <c r="Q22" s="130"/>
      <c r="R22" s="130"/>
      <c r="S22" s="130"/>
      <c r="T22" s="130"/>
      <c r="U22" s="130"/>
      <c r="V22" s="130"/>
      <c r="W22" s="130"/>
      <c r="X22" s="131"/>
      <c r="Y22" s="131"/>
      <c r="Z22" s="131"/>
      <c r="AA22" s="131"/>
    </row>
    <row r="23" spans="1:30" s="58" customFormat="1" ht="57.75" customHeight="1" x14ac:dyDescent="0.25">
      <c r="A23" s="48">
        <v>11</v>
      </c>
      <c r="B23" s="38" t="s">
        <v>58</v>
      </c>
      <c r="C23" s="48" t="s">
        <v>65</v>
      </c>
      <c r="D23" s="46">
        <v>19853</v>
      </c>
      <c r="E23" s="131">
        <v>100</v>
      </c>
      <c r="F23" s="131"/>
      <c r="G23" s="132"/>
      <c r="H23" s="130">
        <v>7947</v>
      </c>
      <c r="I23" s="130">
        <v>7947</v>
      </c>
      <c r="J23" s="130"/>
      <c r="K23" s="130"/>
      <c r="L23" s="130"/>
      <c r="M23" s="130"/>
      <c r="N23" s="130"/>
      <c r="O23" s="130"/>
      <c r="P23" s="130"/>
      <c r="Q23" s="130"/>
      <c r="R23" s="130"/>
      <c r="S23" s="130"/>
      <c r="T23" s="130"/>
      <c r="U23" s="130"/>
      <c r="V23" s="130"/>
      <c r="W23" s="130"/>
      <c r="X23" s="131"/>
      <c r="Y23" s="131"/>
      <c r="Z23" s="131"/>
      <c r="AA23" s="131"/>
    </row>
    <row r="24" spans="1:30" s="119" customFormat="1" ht="42" customHeight="1" x14ac:dyDescent="0.25">
      <c r="A24" s="60" t="s">
        <v>70</v>
      </c>
      <c r="B24" s="37" t="s">
        <v>59</v>
      </c>
      <c r="C24" s="60"/>
      <c r="D24" s="139">
        <f>SUM(D25:D28)</f>
        <v>6086464</v>
      </c>
      <c r="E24" s="139"/>
      <c r="F24" s="139"/>
      <c r="G24" s="139"/>
      <c r="H24" s="139">
        <f t="shared" ref="H24:AA24" si="2">SUM(H25:H28)</f>
        <v>0</v>
      </c>
      <c r="I24" s="139">
        <f t="shared" si="2"/>
        <v>0</v>
      </c>
      <c r="J24" s="139"/>
      <c r="K24" s="139">
        <f t="shared" si="2"/>
        <v>0</v>
      </c>
      <c r="L24" s="139">
        <f t="shared" si="2"/>
        <v>232450</v>
      </c>
      <c r="M24" s="139">
        <f t="shared" si="2"/>
        <v>185960</v>
      </c>
      <c r="N24" s="139"/>
      <c r="O24" s="139">
        <f t="shared" si="2"/>
        <v>46490</v>
      </c>
      <c r="P24" s="139">
        <f t="shared" si="2"/>
        <v>1022587.5</v>
      </c>
      <c r="Q24" s="139">
        <f t="shared" si="2"/>
        <v>691036.5</v>
      </c>
      <c r="R24" s="139"/>
      <c r="S24" s="139">
        <f t="shared" si="2"/>
        <v>331551</v>
      </c>
      <c r="T24" s="139">
        <f t="shared" si="2"/>
        <v>1434210.5</v>
      </c>
      <c r="U24" s="139">
        <f t="shared" si="2"/>
        <v>938010.3</v>
      </c>
      <c r="V24" s="139"/>
      <c r="W24" s="139">
        <f t="shared" si="2"/>
        <v>440689.96</v>
      </c>
      <c r="X24" s="139">
        <f t="shared" si="2"/>
        <v>1563246.5</v>
      </c>
      <c r="Y24" s="139">
        <f t="shared" si="2"/>
        <v>1015431.8999999999</v>
      </c>
      <c r="Z24" s="139">
        <f t="shared" si="2"/>
        <v>0</v>
      </c>
      <c r="AA24" s="139">
        <f t="shared" si="2"/>
        <v>547814.60000000009</v>
      </c>
    </row>
    <row r="25" spans="1:30" s="58" customFormat="1" ht="135.75" customHeight="1" x14ac:dyDescent="0.25">
      <c r="A25" s="48">
        <v>1</v>
      </c>
      <c r="B25" s="38" t="s">
        <v>60</v>
      </c>
      <c r="C25" s="146" t="s">
        <v>69</v>
      </c>
      <c r="D25" s="130">
        <v>1550000</v>
      </c>
      <c r="E25" s="140" t="s">
        <v>110</v>
      </c>
      <c r="F25" s="140" t="s">
        <v>111</v>
      </c>
      <c r="G25" s="140" t="s">
        <v>71</v>
      </c>
      <c r="H25" s="130"/>
      <c r="I25" s="130"/>
      <c r="J25" s="130"/>
      <c r="K25" s="130"/>
      <c r="L25" s="130">
        <v>232450</v>
      </c>
      <c r="M25" s="130">
        <v>185960</v>
      </c>
      <c r="N25" s="130"/>
      <c r="O25" s="130">
        <v>46490</v>
      </c>
      <c r="P25" s="130">
        <v>387420</v>
      </c>
      <c r="Q25" s="130">
        <v>309936</v>
      </c>
      <c r="R25" s="130"/>
      <c r="S25" s="130">
        <v>77484</v>
      </c>
      <c r="T25" s="130">
        <v>387420</v>
      </c>
      <c r="U25" s="130">
        <v>309936</v>
      </c>
      <c r="V25" s="130"/>
      <c r="W25" s="130">
        <v>77484</v>
      </c>
      <c r="X25" s="130">
        <v>387420</v>
      </c>
      <c r="Y25" s="130">
        <f>X25*0.8</f>
        <v>309936</v>
      </c>
      <c r="Z25" s="130"/>
      <c r="AA25" s="130">
        <f>X25*0.2</f>
        <v>77484</v>
      </c>
    </row>
    <row r="26" spans="1:30" s="121" customFormat="1" ht="93" customHeight="1" x14ac:dyDescent="0.25">
      <c r="A26" s="48">
        <v>2</v>
      </c>
      <c r="B26" s="38" t="s">
        <v>61</v>
      </c>
      <c r="C26" s="48" t="s">
        <v>72</v>
      </c>
      <c r="D26" s="142">
        <v>835754</v>
      </c>
      <c r="E26" s="141">
        <v>60</v>
      </c>
      <c r="F26" s="141">
        <v>40</v>
      </c>
      <c r="G26" s="142" t="s">
        <v>73</v>
      </c>
      <c r="H26" s="141"/>
      <c r="I26" s="141"/>
      <c r="J26" s="141"/>
      <c r="K26" s="141"/>
      <c r="L26" s="143"/>
      <c r="M26" s="143"/>
      <c r="N26" s="141"/>
      <c r="O26" s="143"/>
      <c r="P26" s="143">
        <v>167151</v>
      </c>
      <c r="Q26" s="143">
        <v>100290.59999999999</v>
      </c>
      <c r="R26" s="143"/>
      <c r="S26" s="143">
        <v>66860.400000000009</v>
      </c>
      <c r="T26" s="143">
        <v>208939</v>
      </c>
      <c r="U26" s="143">
        <v>125363.4</v>
      </c>
      <c r="V26" s="143"/>
      <c r="W26" s="143">
        <v>83575.600000000006</v>
      </c>
      <c r="X26" s="143">
        <v>250726</v>
      </c>
      <c r="Y26" s="141">
        <v>150435.6</v>
      </c>
      <c r="Z26" s="141"/>
      <c r="AA26" s="141">
        <v>100290.40000000001</v>
      </c>
    </row>
    <row r="27" spans="1:30" s="58" customFormat="1" ht="107.25" customHeight="1" x14ac:dyDescent="0.25">
      <c r="A27" s="48">
        <v>3</v>
      </c>
      <c r="B27" s="38" t="s">
        <v>62</v>
      </c>
      <c r="C27" s="48" t="s">
        <v>65</v>
      </c>
      <c r="D27" s="130">
        <v>1735000</v>
      </c>
      <c r="E27" s="131">
        <v>60</v>
      </c>
      <c r="F27" s="131">
        <v>40</v>
      </c>
      <c r="G27" s="140" t="s">
        <v>74</v>
      </c>
      <c r="H27" s="130"/>
      <c r="I27" s="130"/>
      <c r="J27" s="130"/>
      <c r="K27" s="130"/>
      <c r="L27" s="130"/>
      <c r="M27" s="130"/>
      <c r="N27" s="130"/>
      <c r="O27" s="130"/>
      <c r="P27" s="130">
        <v>173469</v>
      </c>
      <c r="Q27" s="130">
        <v>104081.4</v>
      </c>
      <c r="R27" s="130"/>
      <c r="S27" s="130">
        <v>69387.600000000006</v>
      </c>
      <c r="T27" s="130">
        <v>346939</v>
      </c>
      <c r="U27" s="130">
        <v>208163.4</v>
      </c>
      <c r="V27" s="130"/>
      <c r="W27" s="130">
        <v>83265.36</v>
      </c>
      <c r="X27" s="130">
        <v>433673</v>
      </c>
      <c r="Y27" s="130">
        <f>X27*0.6</f>
        <v>260203.8</v>
      </c>
      <c r="Z27" s="130"/>
      <c r="AA27" s="130">
        <f>X27*0.4</f>
        <v>173469.2</v>
      </c>
    </row>
    <row r="28" spans="1:30" s="58" customFormat="1" ht="144" x14ac:dyDescent="0.25">
      <c r="A28" s="48">
        <v>4</v>
      </c>
      <c r="B28" s="38" t="s">
        <v>63</v>
      </c>
      <c r="C28" s="48"/>
      <c r="D28" s="130">
        <v>1965710</v>
      </c>
      <c r="E28" s="131">
        <v>60</v>
      </c>
      <c r="F28" s="131">
        <v>40</v>
      </c>
      <c r="G28" s="140" t="s">
        <v>75</v>
      </c>
      <c r="H28" s="130"/>
      <c r="I28" s="130"/>
      <c r="J28" s="130"/>
      <c r="K28" s="130"/>
      <c r="L28" s="130"/>
      <c r="M28" s="130"/>
      <c r="N28" s="130"/>
      <c r="O28" s="130"/>
      <c r="P28" s="130">
        <v>294547.5</v>
      </c>
      <c r="Q28" s="130">
        <v>176728.5</v>
      </c>
      <c r="R28" s="130"/>
      <c r="S28" s="130">
        <v>117819</v>
      </c>
      <c r="T28" s="130">
        <v>490912.5</v>
      </c>
      <c r="U28" s="130">
        <v>294547.5</v>
      </c>
      <c r="V28" s="130"/>
      <c r="W28" s="130">
        <v>196365</v>
      </c>
      <c r="X28" s="130">
        <f>0.25*D28</f>
        <v>491427.5</v>
      </c>
      <c r="Y28" s="138">
        <f>X28*0.6</f>
        <v>294856.5</v>
      </c>
      <c r="Z28" s="131"/>
      <c r="AA28" s="138">
        <f>X28*0.4</f>
        <v>196571</v>
      </c>
      <c r="AD28" s="120"/>
    </row>
    <row r="29" spans="1:30" s="58" customFormat="1" ht="12.75" x14ac:dyDescent="0.25">
      <c r="A29" s="118"/>
      <c r="C29" s="118"/>
      <c r="D29" s="144"/>
      <c r="E29" s="129"/>
      <c r="F29" s="129"/>
      <c r="G29" s="129"/>
      <c r="H29" s="144"/>
      <c r="I29" s="144"/>
      <c r="J29" s="144"/>
      <c r="K29" s="144"/>
      <c r="L29" s="144"/>
      <c r="M29" s="144"/>
      <c r="N29" s="144"/>
      <c r="O29" s="144"/>
      <c r="P29" s="144"/>
      <c r="Q29" s="144"/>
      <c r="R29" s="144"/>
      <c r="S29" s="144"/>
      <c r="T29" s="144"/>
      <c r="U29" s="144"/>
      <c r="V29" s="144"/>
      <c r="W29" s="144"/>
      <c r="X29" s="129"/>
      <c r="Y29" s="129"/>
      <c r="Z29" s="129"/>
      <c r="AA29" s="129"/>
    </row>
    <row r="30" spans="1:30" x14ac:dyDescent="0.25">
      <c r="D30" s="144"/>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1:30" x14ac:dyDescent="0.25">
      <c r="D31" s="144"/>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sheetData>
  <mergeCells count="32">
    <mergeCell ref="S8:S9"/>
    <mergeCell ref="Y1:AA1"/>
    <mergeCell ref="F8:F9"/>
    <mergeCell ref="L8:L9"/>
    <mergeCell ref="M8:N8"/>
    <mergeCell ref="X7:AA7"/>
    <mergeCell ref="X8:X9"/>
    <mergeCell ref="Y8:Z8"/>
    <mergeCell ref="AA8:AA9"/>
    <mergeCell ref="H6:AA6"/>
    <mergeCell ref="P7:S7"/>
    <mergeCell ref="T8:T9"/>
    <mergeCell ref="U8:V8"/>
    <mergeCell ref="W8:W9"/>
    <mergeCell ref="O8:O9"/>
    <mergeCell ref="P8:P9"/>
    <mergeCell ref="Q8:R8"/>
    <mergeCell ref="T7:W7"/>
    <mergeCell ref="A2:AA2"/>
    <mergeCell ref="A3:AA3"/>
    <mergeCell ref="A6:A9"/>
    <mergeCell ref="G6:G9"/>
    <mergeCell ref="B6:B9"/>
    <mergeCell ref="C6:C9"/>
    <mergeCell ref="D6:D9"/>
    <mergeCell ref="E6:F7"/>
    <mergeCell ref="H7:K7"/>
    <mergeCell ref="L7:O7"/>
    <mergeCell ref="H8:H9"/>
    <mergeCell ref="I8:J8"/>
    <mergeCell ref="K8:K9"/>
    <mergeCell ref="E8:E9"/>
  </mergeCells>
  <pageMargins left="0.2" right="0.2" top="0.5" bottom="0.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view="pageBreakPreview" topLeftCell="A6" zoomScale="90" zoomScaleSheetLayoutView="90" workbookViewId="0">
      <pane xSplit="2" ySplit="5" topLeftCell="D11" activePane="bottomRight" state="frozen"/>
      <selection activeCell="A6" sqref="A6"/>
      <selection pane="topRight" activeCell="C6" sqref="C6"/>
      <selection pane="bottomLeft" activeCell="A11" sqref="A11"/>
      <selection pane="bottomRight" activeCell="X11" sqref="X11"/>
    </sheetView>
  </sheetViews>
  <sheetFormatPr defaultColWidth="9.125" defaultRowHeight="15" x14ac:dyDescent="0.25"/>
  <cols>
    <col min="1" max="1" width="4.375" style="40" bestFit="1" customWidth="1"/>
    <col min="2" max="2" width="13.25" style="40" customWidth="1"/>
    <col min="3" max="3" width="6" style="40" customWidth="1"/>
    <col min="4" max="5" width="8.375" style="40" customWidth="1"/>
    <col min="6" max="6" width="8.25" style="40" customWidth="1"/>
    <col min="7" max="7" width="7.125" style="40" customWidth="1"/>
    <col min="8" max="8" width="7.625" style="40" customWidth="1"/>
    <col min="9" max="9" width="7.875" style="40" customWidth="1"/>
    <col min="10" max="10" width="7.125" style="40" customWidth="1"/>
    <col min="11" max="11" width="6.625" style="40" customWidth="1"/>
    <col min="12" max="12" width="7.625" style="40" customWidth="1"/>
    <col min="13" max="13" width="7.75" style="40" customWidth="1"/>
    <col min="14" max="14" width="7.375" style="40" customWidth="1"/>
    <col min="15" max="15" width="6.375" style="40" customWidth="1"/>
    <col min="16" max="16" width="7.875" style="40" customWidth="1"/>
    <col min="17" max="17" width="6.875" style="40" customWidth="1"/>
    <col min="18" max="19" width="7" style="40" customWidth="1"/>
    <col min="20" max="20" width="9.5" style="40" customWidth="1"/>
    <col min="21" max="21" width="6.875" style="40" customWidth="1"/>
    <col min="22" max="23" width="7" style="40" customWidth="1"/>
    <col min="24" max="24" width="9.5" style="40" customWidth="1"/>
    <col min="25" max="16384" width="9.125" style="40"/>
  </cols>
  <sheetData>
    <row r="1" spans="1:24" ht="16.5" customHeight="1" x14ac:dyDescent="0.25">
      <c r="A1" s="81" t="s">
        <v>81</v>
      </c>
      <c r="B1" s="82"/>
      <c r="C1" s="82"/>
      <c r="D1" s="82"/>
      <c r="E1" s="82"/>
      <c r="F1" s="82"/>
      <c r="G1" s="82"/>
      <c r="H1" s="82"/>
      <c r="I1" s="82"/>
      <c r="J1" s="82"/>
      <c r="K1" s="82"/>
      <c r="L1" s="82"/>
      <c r="M1" s="82"/>
      <c r="N1" s="82"/>
      <c r="O1" s="82"/>
      <c r="P1" s="82"/>
      <c r="Q1" s="82"/>
      <c r="R1" s="82"/>
      <c r="S1" s="82"/>
      <c r="T1" s="82"/>
      <c r="U1" s="82"/>
      <c r="V1" s="82"/>
      <c r="W1" s="82"/>
      <c r="X1" s="82"/>
    </row>
    <row r="2" spans="1:24" ht="16.5" customHeight="1" x14ac:dyDescent="0.25">
      <c r="A2" s="83" t="s">
        <v>26</v>
      </c>
      <c r="B2" s="82"/>
      <c r="C2" s="82"/>
      <c r="D2" s="82"/>
      <c r="E2" s="82"/>
      <c r="F2" s="82"/>
      <c r="G2" s="82"/>
      <c r="H2" s="82"/>
      <c r="I2" s="82"/>
      <c r="J2" s="82"/>
      <c r="K2" s="82"/>
      <c r="L2" s="82"/>
      <c r="M2" s="82"/>
      <c r="N2" s="82"/>
      <c r="O2" s="82"/>
      <c r="P2" s="82"/>
      <c r="Q2" s="82"/>
      <c r="R2" s="82"/>
      <c r="S2" s="82"/>
      <c r="T2" s="82"/>
      <c r="U2" s="82"/>
      <c r="V2" s="82"/>
      <c r="W2" s="82"/>
      <c r="X2" s="82"/>
    </row>
    <row r="3" spans="1:24" s="45" customFormat="1" ht="12.75" x14ac:dyDescent="0.2">
      <c r="A3" s="84" t="s">
        <v>82</v>
      </c>
      <c r="B3" s="85"/>
      <c r="C3" s="85"/>
      <c r="D3" s="85"/>
      <c r="E3" s="85"/>
      <c r="F3" s="85"/>
      <c r="G3" s="85"/>
      <c r="H3" s="85"/>
      <c r="I3" s="85"/>
      <c r="J3" s="85"/>
      <c r="K3" s="85"/>
      <c r="L3" s="85"/>
      <c r="M3" s="85"/>
      <c r="N3" s="85"/>
      <c r="O3" s="85"/>
      <c r="P3" s="85"/>
      <c r="Q3" s="85"/>
      <c r="R3" s="85"/>
      <c r="S3" s="85"/>
      <c r="T3" s="85"/>
      <c r="U3" s="85"/>
      <c r="V3" s="85"/>
      <c r="W3" s="85"/>
      <c r="X3" s="85"/>
    </row>
    <row r="4" spans="1:24" s="45" customFormat="1" ht="12.75" x14ac:dyDescent="0.2">
      <c r="A4" s="84" t="s">
        <v>83</v>
      </c>
      <c r="B4" s="85"/>
      <c r="C4" s="85"/>
      <c r="D4" s="85"/>
      <c r="E4" s="85"/>
      <c r="F4" s="85"/>
      <c r="G4" s="85"/>
      <c r="H4" s="85"/>
      <c r="I4" s="85"/>
      <c r="J4" s="85"/>
      <c r="K4" s="85"/>
      <c r="L4" s="85"/>
      <c r="M4" s="85"/>
      <c r="N4" s="85"/>
      <c r="O4" s="85"/>
      <c r="P4" s="85"/>
      <c r="Q4" s="85"/>
      <c r="R4" s="85"/>
      <c r="S4" s="85"/>
      <c r="T4" s="85"/>
      <c r="U4" s="85"/>
      <c r="V4" s="85"/>
      <c r="W4" s="85"/>
      <c r="X4" s="85"/>
    </row>
    <row r="5" spans="1:24" ht="39" customHeight="1" x14ac:dyDescent="0.25">
      <c r="A5" s="110" t="s">
        <v>84</v>
      </c>
      <c r="B5" s="110"/>
      <c r="C5" s="110"/>
      <c r="D5" s="110"/>
      <c r="E5" s="110"/>
      <c r="F5" s="110"/>
      <c r="G5" s="110"/>
      <c r="H5" s="110"/>
      <c r="I5" s="110"/>
      <c r="J5" s="110"/>
      <c r="K5" s="110"/>
      <c r="L5" s="110"/>
      <c r="M5" s="110"/>
      <c r="N5" s="110"/>
      <c r="O5" s="110"/>
      <c r="P5" s="110"/>
      <c r="Q5" s="110"/>
      <c r="R5" s="110"/>
      <c r="S5" s="110"/>
      <c r="T5" s="110"/>
    </row>
    <row r="6" spans="1:24" ht="24.75" customHeight="1" x14ac:dyDescent="0.25">
      <c r="A6" s="111" t="s">
        <v>85</v>
      </c>
      <c r="B6" s="111"/>
      <c r="C6" s="111"/>
      <c r="D6" s="111"/>
      <c r="E6" s="111"/>
      <c r="F6" s="111"/>
      <c r="G6" s="111"/>
      <c r="H6" s="111"/>
      <c r="I6" s="111"/>
      <c r="J6" s="111"/>
      <c r="K6" s="111"/>
      <c r="L6" s="111"/>
      <c r="M6" s="111"/>
      <c r="N6" s="111"/>
      <c r="O6" s="111"/>
      <c r="P6" s="111"/>
      <c r="Q6" s="111"/>
      <c r="R6" s="111"/>
      <c r="S6" s="111"/>
      <c r="T6" s="111"/>
      <c r="U6" s="86"/>
      <c r="V6" s="86"/>
      <c r="W6" s="86"/>
    </row>
    <row r="7" spans="1:24" x14ac:dyDescent="0.25">
      <c r="R7" s="109" t="s">
        <v>86</v>
      </c>
      <c r="S7" s="109"/>
      <c r="T7" s="109"/>
      <c r="V7" s="109" t="s">
        <v>86</v>
      </c>
      <c r="W7" s="109"/>
      <c r="X7" s="109"/>
    </row>
    <row r="8" spans="1:24" ht="15" customHeight="1" x14ac:dyDescent="0.25">
      <c r="A8" s="108" t="s">
        <v>14</v>
      </c>
      <c r="B8" s="108" t="s">
        <v>87</v>
      </c>
      <c r="C8" s="108" t="s">
        <v>88</v>
      </c>
      <c r="D8" s="108" t="s">
        <v>89</v>
      </c>
      <c r="E8" s="108" t="s">
        <v>90</v>
      </c>
      <c r="F8" s="108"/>
      <c r="G8" s="108"/>
      <c r="H8" s="108"/>
      <c r="I8" s="108" t="s">
        <v>91</v>
      </c>
      <c r="J8" s="108"/>
      <c r="K8" s="108"/>
      <c r="L8" s="108"/>
      <c r="M8" s="108" t="s">
        <v>92</v>
      </c>
      <c r="N8" s="108"/>
      <c r="O8" s="108"/>
      <c r="P8" s="108"/>
      <c r="Q8" s="108" t="s">
        <v>93</v>
      </c>
      <c r="R8" s="108"/>
      <c r="S8" s="108"/>
      <c r="T8" s="108"/>
      <c r="U8" s="108" t="s">
        <v>108</v>
      </c>
      <c r="V8" s="108"/>
      <c r="W8" s="108"/>
      <c r="X8" s="108"/>
    </row>
    <row r="9" spans="1:24" ht="63" customHeight="1" x14ac:dyDescent="0.25">
      <c r="A9" s="108"/>
      <c r="B9" s="108"/>
      <c r="C9" s="108"/>
      <c r="D9" s="108"/>
      <c r="E9" s="87" t="s">
        <v>94</v>
      </c>
      <c r="F9" s="87" t="s">
        <v>95</v>
      </c>
      <c r="G9" s="87" t="s">
        <v>96</v>
      </c>
      <c r="H9" s="87" t="s">
        <v>97</v>
      </c>
      <c r="I9" s="87" t="s">
        <v>94</v>
      </c>
      <c r="J9" s="87" t="s">
        <v>95</v>
      </c>
      <c r="K9" s="87" t="s">
        <v>96</v>
      </c>
      <c r="L9" s="87" t="s">
        <v>97</v>
      </c>
      <c r="M9" s="87" t="s">
        <v>94</v>
      </c>
      <c r="N9" s="87" t="s">
        <v>95</v>
      </c>
      <c r="O9" s="87" t="s">
        <v>96</v>
      </c>
      <c r="P9" s="87" t="s">
        <v>97</v>
      </c>
      <c r="Q9" s="87" t="s">
        <v>94</v>
      </c>
      <c r="R9" s="87" t="s">
        <v>95</v>
      </c>
      <c r="S9" s="87" t="s">
        <v>96</v>
      </c>
      <c r="T9" s="87" t="s">
        <v>97</v>
      </c>
      <c r="U9" s="87" t="s">
        <v>94</v>
      </c>
      <c r="V9" s="87" t="s">
        <v>95</v>
      </c>
      <c r="W9" s="87" t="s">
        <v>96</v>
      </c>
      <c r="X9" s="87" t="s">
        <v>97</v>
      </c>
    </row>
    <row r="10" spans="1:24" x14ac:dyDescent="0.25">
      <c r="A10" s="88"/>
      <c r="B10" s="88" t="s">
        <v>98</v>
      </c>
      <c r="C10" s="88"/>
      <c r="D10" s="88">
        <v>1</v>
      </c>
      <c r="E10" s="88">
        <v>2</v>
      </c>
      <c r="F10" s="88">
        <v>3</v>
      </c>
      <c r="G10" s="88">
        <v>4</v>
      </c>
      <c r="H10" s="88">
        <v>5</v>
      </c>
      <c r="I10" s="88">
        <v>6</v>
      </c>
      <c r="J10" s="88">
        <v>7</v>
      </c>
      <c r="K10" s="88">
        <v>8</v>
      </c>
      <c r="L10" s="88">
        <v>9</v>
      </c>
      <c r="M10" s="88">
        <v>10</v>
      </c>
      <c r="N10" s="88">
        <v>11</v>
      </c>
      <c r="O10" s="88">
        <v>12</v>
      </c>
      <c r="P10" s="88">
        <v>13</v>
      </c>
      <c r="Q10" s="88">
        <v>10</v>
      </c>
      <c r="R10" s="88">
        <v>11</v>
      </c>
      <c r="S10" s="88">
        <v>12</v>
      </c>
      <c r="T10" s="88">
        <v>13</v>
      </c>
      <c r="U10" s="88">
        <v>10</v>
      </c>
      <c r="V10" s="88">
        <v>11</v>
      </c>
      <c r="W10" s="88">
        <v>12</v>
      </c>
      <c r="X10" s="88">
        <v>13</v>
      </c>
    </row>
    <row r="11" spans="1:24" s="90" customFormat="1" ht="18" customHeight="1" x14ac:dyDescent="0.25">
      <c r="A11" s="87"/>
      <c r="B11" s="87" t="s">
        <v>99</v>
      </c>
      <c r="C11" s="87"/>
      <c r="D11" s="89">
        <f>D12+D20</f>
        <v>101436.38649999999</v>
      </c>
      <c r="E11" s="89">
        <f t="shared" ref="E11:T11" si="0">E12+E20</f>
        <v>49670.019</v>
      </c>
      <c r="F11" s="89">
        <f t="shared" si="0"/>
        <v>9576.4351397049995</v>
      </c>
      <c r="G11" s="89">
        <f t="shared" si="0"/>
        <v>3022.1281100000006</v>
      </c>
      <c r="H11" s="89">
        <f t="shared" si="0"/>
        <v>141529.970360295</v>
      </c>
      <c r="I11" s="89">
        <f t="shared" si="0"/>
        <v>134060.23199999999</v>
      </c>
      <c r="J11" s="89">
        <f t="shared" si="0"/>
        <v>10906.596426940001</v>
      </c>
      <c r="K11" s="89">
        <f t="shared" si="0"/>
        <v>5449.3540472059003</v>
      </c>
      <c r="L11" s="89">
        <f t="shared" si="0"/>
        <v>264683.60593335505</v>
      </c>
      <c r="M11" s="89">
        <f t="shared" si="0"/>
        <v>371751</v>
      </c>
      <c r="N11" s="89">
        <f t="shared" si="0"/>
        <v>10906.596426940001</v>
      </c>
      <c r="O11" s="89">
        <f t="shared" si="0"/>
        <v>11381.637838667099</v>
      </c>
      <c r="P11" s="89">
        <f t="shared" si="0"/>
        <v>625528.00950641511</v>
      </c>
      <c r="Q11" s="89">
        <f t="shared" si="0"/>
        <v>477889.56</v>
      </c>
      <c r="R11" s="89">
        <f t="shared" si="0"/>
        <v>15577.814914940001</v>
      </c>
      <c r="S11" s="89">
        <f t="shared" si="0"/>
        <v>18329.5488621283</v>
      </c>
      <c r="T11" s="89">
        <f t="shared" si="0"/>
        <v>1087839.754591475</v>
      </c>
      <c r="U11" s="89">
        <f t="shared" ref="U11:X11" si="1">U12+U20</f>
        <v>552814.60000000009</v>
      </c>
      <c r="V11" s="89">
        <f t="shared" si="1"/>
        <v>15577.814914940001</v>
      </c>
      <c r="W11" s="89">
        <f t="shared" si="1"/>
        <v>25107.8910038295</v>
      </c>
      <c r="X11" s="89">
        <f t="shared" si="1"/>
        <v>1625076.5396765352</v>
      </c>
    </row>
    <row r="12" spans="1:24" s="90" customFormat="1" ht="76.5" customHeight="1" x14ac:dyDescent="0.25">
      <c r="A12" s="87" t="s">
        <v>48</v>
      </c>
      <c r="B12" s="91" t="s">
        <v>100</v>
      </c>
      <c r="C12" s="87"/>
      <c r="D12" s="89">
        <f>SUM(D13:D19)</f>
        <v>101436.38649999999</v>
      </c>
      <c r="E12" s="89">
        <f t="shared" ref="E12:T12" si="2">SUM(E13:E19)</f>
        <v>49670.019</v>
      </c>
      <c r="F12" s="89">
        <f t="shared" si="2"/>
        <v>9576.4351397049995</v>
      </c>
      <c r="G12" s="89">
        <f t="shared" si="2"/>
        <v>3022.1281100000006</v>
      </c>
      <c r="H12" s="89">
        <f t="shared" si="2"/>
        <v>141529.970360295</v>
      </c>
      <c r="I12" s="89">
        <f t="shared" si="2"/>
        <v>87570.231999999989</v>
      </c>
      <c r="J12" s="89">
        <f t="shared" si="2"/>
        <v>10906.596426940001</v>
      </c>
      <c r="K12" s="89">
        <f t="shared" si="2"/>
        <v>4582.0040472059</v>
      </c>
      <c r="L12" s="89">
        <f t="shared" si="2"/>
        <v>218193.60593335502</v>
      </c>
      <c r="M12" s="89">
        <f t="shared" si="2"/>
        <v>40200</v>
      </c>
      <c r="N12" s="89">
        <f t="shared" si="2"/>
        <v>10906.596426940001</v>
      </c>
      <c r="O12" s="89">
        <f t="shared" si="2"/>
        <v>5167.8721186670991</v>
      </c>
      <c r="P12" s="89">
        <f t="shared" si="2"/>
        <v>247487.00950641505</v>
      </c>
      <c r="Q12" s="89">
        <f t="shared" si="2"/>
        <v>37199.599999999999</v>
      </c>
      <c r="R12" s="89">
        <f t="shared" si="2"/>
        <v>15577.814914940001</v>
      </c>
      <c r="S12" s="89">
        <f t="shared" si="2"/>
        <v>5693.7321901283003</v>
      </c>
      <c r="T12" s="89">
        <f t="shared" si="2"/>
        <v>269108.79459147505</v>
      </c>
      <c r="U12" s="89">
        <f t="shared" ref="U12:X12" si="3">SUM(U13:U19)</f>
        <v>5000</v>
      </c>
      <c r="V12" s="89">
        <f t="shared" si="3"/>
        <v>15577.814914940001</v>
      </c>
      <c r="W12" s="89">
        <f t="shared" si="3"/>
        <v>5482.1758918295</v>
      </c>
      <c r="X12" s="89">
        <f t="shared" si="3"/>
        <v>258530.97967653503</v>
      </c>
    </row>
    <row r="13" spans="1:24" ht="45" x14ac:dyDescent="0.25">
      <c r="A13" s="42">
        <v>1</v>
      </c>
      <c r="B13" s="92" t="s">
        <v>49</v>
      </c>
      <c r="C13" s="93" t="s">
        <v>38</v>
      </c>
      <c r="D13" s="43">
        <v>35919.608500000002</v>
      </c>
      <c r="E13" s="43">
        <f>'Biểu 01'!K13</f>
        <v>17000</v>
      </c>
      <c r="F13" s="43">
        <f>49.154*23.23*2</f>
        <v>2283.6948400000001</v>
      </c>
      <c r="G13" s="43">
        <f>(D13+E13)*2%</f>
        <v>1058.3921700000001</v>
      </c>
      <c r="H13" s="43">
        <f>D13+E13-F13</f>
        <v>50635.913660000006</v>
      </c>
      <c r="I13" s="94">
        <f>'Biểu 01'!O13</f>
        <v>6500</v>
      </c>
      <c r="J13" s="43">
        <f>F13</f>
        <v>2283.6948400000001</v>
      </c>
      <c r="K13" s="43">
        <f>(H13+I13)*2%</f>
        <v>1142.7182732000001</v>
      </c>
      <c r="L13" s="43">
        <f>H13+I13-J13</f>
        <v>54852.218820000009</v>
      </c>
      <c r="M13" s="43">
        <f>'Biểu 01'!S13</f>
        <v>0</v>
      </c>
      <c r="N13" s="43">
        <f>J13</f>
        <v>2283.6948400000001</v>
      </c>
      <c r="O13" s="43">
        <f>(L13+M13)*2%</f>
        <v>1097.0443764000001</v>
      </c>
      <c r="P13" s="43">
        <f t="shared" ref="P13:P19" si="4">L13+M13-N13</f>
        <v>52568.523980000013</v>
      </c>
      <c r="Q13" s="43">
        <f>'Biểu 01'!W13</f>
        <v>0</v>
      </c>
      <c r="R13" s="43">
        <f>N13</f>
        <v>2283.6948400000001</v>
      </c>
      <c r="S13" s="43">
        <f>(P13+Q13)*2%</f>
        <v>1051.3704796000002</v>
      </c>
      <c r="T13" s="43">
        <f>P13+Q13-R13</f>
        <v>50284.829140000016</v>
      </c>
      <c r="U13" s="43">
        <f>'Biểu 01'!AA13</f>
        <v>0</v>
      </c>
      <c r="V13" s="43">
        <f>R13</f>
        <v>2283.6948400000001</v>
      </c>
      <c r="W13" s="43">
        <f>(T13+U13)*2%</f>
        <v>1005.6965828000003</v>
      </c>
      <c r="X13" s="43">
        <f>T13+U13-V13</f>
        <v>48001.13430000002</v>
      </c>
    </row>
    <row r="14" spans="1:24" ht="75" x14ac:dyDescent="0.25">
      <c r="A14" s="42">
        <v>2</v>
      </c>
      <c r="B14" s="92" t="s">
        <v>50</v>
      </c>
      <c r="C14" s="93" t="s">
        <v>101</v>
      </c>
      <c r="D14" s="43">
        <f>(2500+10484.875)</f>
        <v>12984.875</v>
      </c>
      <c r="E14" s="43">
        <f>'Biểu 01'!K14</f>
        <v>753.01900000000001</v>
      </c>
      <c r="F14" s="43">
        <f>(833333*1.65%+833333*1.65%*2)*23.23/1000</f>
        <v>958.23711670500006</v>
      </c>
      <c r="G14" s="43">
        <f>(D14+E14)*2%</f>
        <v>274.75788</v>
      </c>
      <c r="H14" s="43">
        <f t="shared" ref="H14:H19" si="5">D14+E14-F14</f>
        <v>12779.656883295</v>
      </c>
      <c r="I14" s="94">
        <f>'Biểu 01'!O14</f>
        <v>4970.4320000000007</v>
      </c>
      <c r="J14" s="43">
        <f>(833333*1.65%*4)*23.23/1000</f>
        <v>1277.6494889400001</v>
      </c>
      <c r="K14" s="43">
        <f t="shared" ref="K14:K19" si="6">(H14+I14)*2%</f>
        <v>355.00177766590002</v>
      </c>
      <c r="L14" s="43">
        <f t="shared" ref="L14:L19" si="7">H14+I14-J14</f>
        <v>16472.439394355002</v>
      </c>
      <c r="M14" s="43">
        <f>'Biểu 01'!S14</f>
        <v>0</v>
      </c>
      <c r="N14" s="43">
        <f>J14</f>
        <v>1277.6494889400001</v>
      </c>
      <c r="O14" s="43">
        <f t="shared" ref="O14:O15" si="8">(L14+M14)*2%</f>
        <v>329.44878788710002</v>
      </c>
      <c r="P14" s="43">
        <f t="shared" si="4"/>
        <v>15194.789905415002</v>
      </c>
      <c r="Q14" s="43">
        <f>'Biểu 01'!W14</f>
        <v>0</v>
      </c>
      <c r="R14" s="43">
        <f>N14</f>
        <v>1277.6494889400001</v>
      </c>
      <c r="S14" s="43">
        <f t="shared" ref="S14:S15" si="9">(P14+Q14)*2%</f>
        <v>303.89579810830003</v>
      </c>
      <c r="T14" s="43">
        <f>P14+Q14-R14</f>
        <v>13917.140416475002</v>
      </c>
      <c r="U14" s="43">
        <f>'Biểu 01'!AA14</f>
        <v>0</v>
      </c>
      <c r="V14" s="43">
        <f>R14</f>
        <v>1277.6494889400001</v>
      </c>
      <c r="W14" s="43">
        <f t="shared" ref="W14:W15" si="10">(T14+U14)*2%</f>
        <v>278.34280832950003</v>
      </c>
      <c r="X14" s="43">
        <f>T14+U14-V14</f>
        <v>12639.490927535002</v>
      </c>
    </row>
    <row r="15" spans="1:24" ht="75" x14ac:dyDescent="0.25">
      <c r="A15" s="42">
        <v>3</v>
      </c>
      <c r="B15" s="92" t="s">
        <v>37</v>
      </c>
      <c r="C15" s="93" t="s">
        <v>38</v>
      </c>
      <c r="D15" s="43">
        <v>600</v>
      </c>
      <c r="E15" s="43">
        <f>'Biểu 01'!K15</f>
        <v>15517</v>
      </c>
      <c r="F15" s="43"/>
      <c r="G15" s="43">
        <f t="shared" ref="G15:G17" si="11">(D15+E15)*2%</f>
        <v>322.34000000000003</v>
      </c>
      <c r="H15" s="43">
        <f t="shared" si="5"/>
        <v>16117</v>
      </c>
      <c r="I15" s="94">
        <f>'Biểu 01'!O15</f>
        <v>23200</v>
      </c>
      <c r="J15" s="43"/>
      <c r="K15" s="43">
        <f t="shared" si="6"/>
        <v>786.34</v>
      </c>
      <c r="L15" s="43">
        <f t="shared" si="7"/>
        <v>39317</v>
      </c>
      <c r="M15" s="43">
        <f>'Biểu 01'!S15</f>
        <v>23200</v>
      </c>
      <c r="N15" s="43"/>
      <c r="O15" s="43">
        <f t="shared" si="8"/>
        <v>1250.3399999999999</v>
      </c>
      <c r="P15" s="43">
        <f t="shared" si="4"/>
        <v>62517</v>
      </c>
      <c r="Q15" s="43">
        <f>'Biểu 01'!W15</f>
        <v>20018</v>
      </c>
      <c r="R15" s="43">
        <f>3632000*3.33%*23.23/1000</f>
        <v>2809.566288</v>
      </c>
      <c r="S15" s="43">
        <f t="shared" si="9"/>
        <v>1650.7</v>
      </c>
      <c r="T15" s="43">
        <f t="shared" ref="T15:T19" si="12">P15+Q15-R15</f>
        <v>79725.433711999998</v>
      </c>
      <c r="U15" s="43">
        <f>'Biểu 01'!AA15</f>
        <v>0</v>
      </c>
      <c r="V15" s="43">
        <f>3632000*3.33%*23.23/1000</f>
        <v>2809.566288</v>
      </c>
      <c r="W15" s="43">
        <f t="shared" si="10"/>
        <v>1594.5086742399999</v>
      </c>
      <c r="X15" s="43">
        <f t="shared" ref="X15:X19" si="13">T15+U15-V15</f>
        <v>76915.867423999996</v>
      </c>
    </row>
    <row r="16" spans="1:24" ht="75" x14ac:dyDescent="0.25">
      <c r="A16" s="42">
        <v>4</v>
      </c>
      <c r="B16" s="92" t="s">
        <v>51</v>
      </c>
      <c r="C16" s="93" t="s">
        <v>38</v>
      </c>
      <c r="D16" s="43">
        <v>8436.9030000000002</v>
      </c>
      <c r="E16" s="43">
        <f>'Biểu 01'!K16</f>
        <v>15000</v>
      </c>
      <c r="F16" s="43">
        <f>(2637000*1.65%+2637000*1.65%*2)*23.23/1000</f>
        <v>3032.2467449999999</v>
      </c>
      <c r="G16" s="43">
        <f t="shared" si="11"/>
        <v>468.73805999999996</v>
      </c>
      <c r="H16" s="43">
        <f t="shared" si="5"/>
        <v>20404.656254999998</v>
      </c>
      <c r="I16" s="94">
        <f>'Biểu 01'!O16</f>
        <v>35899.799999999996</v>
      </c>
      <c r="J16" s="43">
        <f>(2637000*1.65%*4)*23.23/1000</f>
        <v>4042.99566</v>
      </c>
      <c r="K16" s="43">
        <f t="shared" si="6"/>
        <v>1126.0891251</v>
      </c>
      <c r="L16" s="43">
        <f t="shared" si="7"/>
        <v>52261.460594999997</v>
      </c>
      <c r="M16" s="43">
        <f>'Biểu 01'!S16</f>
        <v>0</v>
      </c>
      <c r="N16" s="43">
        <f>J16</f>
        <v>4042.99566</v>
      </c>
      <c r="O16" s="43">
        <f>(L16+M16)*2%</f>
        <v>1045.2292118999999</v>
      </c>
      <c r="P16" s="43">
        <f t="shared" si="4"/>
        <v>48218.464934999996</v>
      </c>
      <c r="Q16" s="43">
        <f>'Biểu 01'!W16</f>
        <v>0</v>
      </c>
      <c r="R16" s="43">
        <f>N16</f>
        <v>4042.99566</v>
      </c>
      <c r="S16" s="43">
        <f>(P16+Q16)*2%</f>
        <v>964.36929869999994</v>
      </c>
      <c r="T16" s="43">
        <f t="shared" si="12"/>
        <v>44175.469274999996</v>
      </c>
      <c r="U16" s="43">
        <f>'Biểu 01'!AA16</f>
        <v>0</v>
      </c>
      <c r="V16" s="43">
        <f>R16</f>
        <v>4042.99566</v>
      </c>
      <c r="W16" s="43">
        <f>(T16+U16)*2%</f>
        <v>883.50938549999989</v>
      </c>
      <c r="X16" s="43">
        <f t="shared" si="13"/>
        <v>40132.473614999995</v>
      </c>
    </row>
    <row r="17" spans="1:24" ht="120" x14ac:dyDescent="0.25">
      <c r="A17" s="42">
        <v>5</v>
      </c>
      <c r="B17" s="92" t="s">
        <v>102</v>
      </c>
      <c r="C17" s="93" t="s">
        <v>65</v>
      </c>
      <c r="D17" s="43"/>
      <c r="E17" s="43">
        <f>'Biểu 01'!K17</f>
        <v>0</v>
      </c>
      <c r="F17" s="43"/>
      <c r="G17" s="43">
        <f t="shared" si="11"/>
        <v>0</v>
      </c>
      <c r="H17" s="43">
        <f t="shared" si="5"/>
        <v>0</v>
      </c>
      <c r="I17" s="94">
        <f>'Biểu 01'!O17</f>
        <v>12000</v>
      </c>
      <c r="J17" s="43"/>
      <c r="K17" s="43">
        <f t="shared" si="6"/>
        <v>240</v>
      </c>
      <c r="L17" s="43">
        <f t="shared" si="7"/>
        <v>12000</v>
      </c>
      <c r="M17" s="43">
        <f>'Biểu 01'!S17</f>
        <v>12000</v>
      </c>
      <c r="N17" s="43"/>
      <c r="O17" s="43">
        <f>(L17+M17)*2%</f>
        <v>480</v>
      </c>
      <c r="P17" s="43">
        <f t="shared" si="4"/>
        <v>24000</v>
      </c>
      <c r="Q17" s="43">
        <f>'Biểu 01'!W17</f>
        <v>12181.6</v>
      </c>
      <c r="R17" s="43">
        <f>40070*23.23*2/1000</f>
        <v>1861.6522</v>
      </c>
      <c r="S17" s="43">
        <f>(P17+Q17)*2%</f>
        <v>723.63199999999995</v>
      </c>
      <c r="T17" s="43">
        <f t="shared" si="12"/>
        <v>34319.947800000002</v>
      </c>
      <c r="U17" s="43">
        <f>'Biểu 01'!AA17</f>
        <v>0</v>
      </c>
      <c r="V17" s="43">
        <f>40070*23.23*2/1000</f>
        <v>1861.6522</v>
      </c>
      <c r="W17" s="43">
        <f>(T17+U17)*2%</f>
        <v>686.398956</v>
      </c>
      <c r="X17" s="43">
        <f t="shared" si="13"/>
        <v>32458.295600000001</v>
      </c>
    </row>
    <row r="18" spans="1:24" ht="60" x14ac:dyDescent="0.25">
      <c r="A18" s="42">
        <v>6</v>
      </c>
      <c r="B18" s="92" t="s">
        <v>103</v>
      </c>
      <c r="C18" s="93" t="s">
        <v>66</v>
      </c>
      <c r="D18" s="43">
        <v>43495</v>
      </c>
      <c r="E18" s="43">
        <f>'Biểu 01'!K18</f>
        <v>0</v>
      </c>
      <c r="F18" s="43">
        <f>1651.128219*2</f>
        <v>3302.2564379999999</v>
      </c>
      <c r="G18" s="43">
        <f>(D18+E18)*2%</f>
        <v>869.9</v>
      </c>
      <c r="H18" s="43">
        <f t="shared" si="5"/>
        <v>40192.743562000003</v>
      </c>
      <c r="I18" s="94">
        <f>'Biểu 01'!O18</f>
        <v>0</v>
      </c>
      <c r="J18" s="43">
        <f>F18</f>
        <v>3302.2564379999999</v>
      </c>
      <c r="K18" s="43">
        <f t="shared" si="6"/>
        <v>803.85487124000008</v>
      </c>
      <c r="L18" s="43">
        <f t="shared" si="7"/>
        <v>36890.487124000007</v>
      </c>
      <c r="M18" s="43">
        <f>'Biểu 01'!S18</f>
        <v>0</v>
      </c>
      <c r="N18" s="43">
        <f>J18</f>
        <v>3302.2564379999999</v>
      </c>
      <c r="O18" s="43">
        <f>(L18+M18)*2%</f>
        <v>737.80974248000018</v>
      </c>
      <c r="P18" s="43">
        <f t="shared" si="4"/>
        <v>33588.23068600001</v>
      </c>
      <c r="Q18" s="43">
        <f>'Biểu 01'!W18</f>
        <v>0</v>
      </c>
      <c r="R18" s="43">
        <f>N18</f>
        <v>3302.2564379999999</v>
      </c>
      <c r="S18" s="43">
        <f t="shared" ref="S18:S19" si="14">(P18+Q18)*2%</f>
        <v>671.76461372000017</v>
      </c>
      <c r="T18" s="43">
        <f t="shared" si="12"/>
        <v>30285.97424800001</v>
      </c>
      <c r="U18" s="43">
        <f>'Biểu 01'!AA18</f>
        <v>0</v>
      </c>
      <c r="V18" s="43">
        <f>R18</f>
        <v>3302.2564379999999</v>
      </c>
      <c r="W18" s="43">
        <f t="shared" ref="W18:W19" si="15">(T18+U18)*2%</f>
        <v>605.71948496000016</v>
      </c>
      <c r="X18" s="43">
        <f t="shared" si="13"/>
        <v>26983.717810000009</v>
      </c>
    </row>
    <row r="19" spans="1:24" s="44" customFormat="1" ht="48.75" customHeight="1" x14ac:dyDescent="0.25">
      <c r="A19" s="48">
        <v>7</v>
      </c>
      <c r="B19" s="36" t="s">
        <v>55</v>
      </c>
      <c r="C19" s="95" t="s">
        <v>68</v>
      </c>
      <c r="D19" s="46">
        <v>0</v>
      </c>
      <c r="E19" s="43">
        <f>'Biểu 01'!K19</f>
        <v>1400</v>
      </c>
      <c r="F19" s="46"/>
      <c r="G19" s="43">
        <f>(D19+E19)*2%</f>
        <v>28</v>
      </c>
      <c r="H19" s="43">
        <f t="shared" si="5"/>
        <v>1400</v>
      </c>
      <c r="I19" s="94">
        <f>'Biểu 01'!O19</f>
        <v>5000</v>
      </c>
      <c r="J19" s="46"/>
      <c r="K19" s="43">
        <f t="shared" si="6"/>
        <v>128</v>
      </c>
      <c r="L19" s="43">
        <f t="shared" si="7"/>
        <v>6400</v>
      </c>
      <c r="M19" s="43">
        <f>'Biểu 01'!S19</f>
        <v>5000</v>
      </c>
      <c r="N19" s="46"/>
      <c r="O19" s="43">
        <f>(L19+M19)*2%</f>
        <v>228</v>
      </c>
      <c r="P19" s="43">
        <f t="shared" si="4"/>
        <v>11400</v>
      </c>
      <c r="Q19" s="43">
        <f>'Biểu 01'!W19</f>
        <v>5000</v>
      </c>
      <c r="R19" s="46"/>
      <c r="S19" s="43">
        <f t="shared" si="14"/>
        <v>328</v>
      </c>
      <c r="T19" s="43">
        <f t="shared" si="12"/>
        <v>16400</v>
      </c>
      <c r="U19" s="43">
        <f>'Biểu 01'!AA19</f>
        <v>5000</v>
      </c>
      <c r="V19" s="46"/>
      <c r="W19" s="43">
        <f t="shared" si="15"/>
        <v>428</v>
      </c>
      <c r="X19" s="43">
        <f t="shared" si="13"/>
        <v>21400</v>
      </c>
    </row>
    <row r="20" spans="1:24" s="90" customFormat="1" ht="48.75" customHeight="1" x14ac:dyDescent="0.25">
      <c r="A20" s="60" t="s">
        <v>70</v>
      </c>
      <c r="B20" s="37" t="s">
        <v>104</v>
      </c>
      <c r="C20" s="96"/>
      <c r="D20" s="97">
        <f>SUM(D21:D24)</f>
        <v>0</v>
      </c>
      <c r="E20" s="97">
        <f t="shared" ref="E20:T20" si="16">SUM(E21:E24)</f>
        <v>0</v>
      </c>
      <c r="F20" s="97">
        <f t="shared" si="16"/>
        <v>0</v>
      </c>
      <c r="G20" s="97">
        <f t="shared" si="16"/>
        <v>0</v>
      </c>
      <c r="H20" s="97">
        <f t="shared" si="16"/>
        <v>0</v>
      </c>
      <c r="I20" s="97">
        <f t="shared" si="16"/>
        <v>46490</v>
      </c>
      <c r="J20" s="97">
        <f t="shared" si="16"/>
        <v>0</v>
      </c>
      <c r="K20" s="97">
        <f t="shared" si="16"/>
        <v>867.35</v>
      </c>
      <c r="L20" s="97">
        <f t="shared" si="16"/>
        <v>46490</v>
      </c>
      <c r="M20" s="97">
        <f t="shared" si="16"/>
        <v>331551</v>
      </c>
      <c r="N20" s="97">
        <f t="shared" si="16"/>
        <v>0</v>
      </c>
      <c r="O20" s="97">
        <f t="shared" si="16"/>
        <v>6213.7657199999994</v>
      </c>
      <c r="P20" s="97">
        <f t="shared" si="16"/>
        <v>378041</v>
      </c>
      <c r="Q20" s="97">
        <f t="shared" si="16"/>
        <v>440689.96</v>
      </c>
      <c r="R20" s="97">
        <f t="shared" si="16"/>
        <v>0</v>
      </c>
      <c r="S20" s="97">
        <f t="shared" si="16"/>
        <v>12635.816672000001</v>
      </c>
      <c r="T20" s="97">
        <f t="shared" si="16"/>
        <v>818730.96</v>
      </c>
      <c r="U20" s="97">
        <f t="shared" ref="U20:X20" si="17">SUM(U21:U24)</f>
        <v>547814.60000000009</v>
      </c>
      <c r="V20" s="97">
        <f t="shared" si="17"/>
        <v>0</v>
      </c>
      <c r="W20" s="97">
        <f t="shared" si="17"/>
        <v>19625.715112000002</v>
      </c>
      <c r="X20" s="97">
        <f t="shared" si="17"/>
        <v>1366545.56</v>
      </c>
    </row>
    <row r="21" spans="1:24" ht="63.75" x14ac:dyDescent="0.25">
      <c r="A21" s="48">
        <v>1</v>
      </c>
      <c r="B21" s="36" t="s">
        <v>60</v>
      </c>
      <c r="C21" s="48" t="s">
        <v>69</v>
      </c>
      <c r="D21" s="43"/>
      <c r="E21" s="43"/>
      <c r="F21" s="43"/>
      <c r="G21" s="43"/>
      <c r="H21" s="43"/>
      <c r="I21" s="94">
        <f>'[1]2.03'!O28</f>
        <v>46490</v>
      </c>
      <c r="J21" s="43"/>
      <c r="K21" s="43">
        <f>(H21+I21)*1.5%+((0.05+0.12)*1000)</f>
        <v>867.35</v>
      </c>
      <c r="L21" s="43">
        <f>H21+I21-J21</f>
        <v>46490</v>
      </c>
      <c r="M21" s="43">
        <f>'[1]2.03'!S28</f>
        <v>77484</v>
      </c>
      <c r="N21" s="43"/>
      <c r="O21" s="43">
        <f>(L21+M21)*1.5%+((0.08+0.31)*1000)</f>
        <v>2249.6099999999997</v>
      </c>
      <c r="P21" s="43">
        <f t="shared" ref="P21:P24" si="18">L21+M21-N21</f>
        <v>123974</v>
      </c>
      <c r="Q21" s="43">
        <f>'[1]2.03'!W28</f>
        <v>77484</v>
      </c>
      <c r="R21" s="43"/>
      <c r="S21" s="43">
        <f>((P21+Q21)*1.5%)+((0.08+0.5)*1000)</f>
        <v>3601.87</v>
      </c>
      <c r="T21" s="43">
        <f t="shared" ref="T21:T24" si="19">P21+Q21-R21</f>
        <v>201458</v>
      </c>
      <c r="U21" s="43">
        <f>'Biểu 01'!AA25</f>
        <v>77484</v>
      </c>
      <c r="V21" s="43"/>
      <c r="W21" s="43">
        <f>((T21+U21)*1.5%)+((0.08+0.5)*1000)</f>
        <v>4764.13</v>
      </c>
      <c r="X21" s="43">
        <f t="shared" ref="X21:X24" si="20">T21+U21-V21</f>
        <v>278942</v>
      </c>
    </row>
    <row r="22" spans="1:24" ht="89.25" x14ac:dyDescent="0.25">
      <c r="A22" s="48">
        <v>2</v>
      </c>
      <c r="B22" s="36" t="s">
        <v>61</v>
      </c>
      <c r="C22" s="48" t="s">
        <v>72</v>
      </c>
      <c r="D22" s="41"/>
      <c r="E22" s="41"/>
      <c r="F22" s="41"/>
      <c r="G22" s="41"/>
      <c r="H22" s="41"/>
      <c r="I22" s="41"/>
      <c r="J22" s="41"/>
      <c r="K22" s="41"/>
      <c r="L22" s="43">
        <f t="shared" ref="L22:L24" si="21">H22+I22-J22</f>
        <v>0</v>
      </c>
      <c r="M22" s="43">
        <f>'[1]2.03'!S29</f>
        <v>66860.400000000009</v>
      </c>
      <c r="N22" s="41"/>
      <c r="O22" s="43">
        <f>(L22+M22)*1.5%</f>
        <v>1002.9060000000001</v>
      </c>
      <c r="P22" s="43">
        <f t="shared" si="18"/>
        <v>66860.400000000009</v>
      </c>
      <c r="Q22" s="43">
        <f>'[1]2.03'!W29</f>
        <v>83575.600000000006</v>
      </c>
      <c r="R22" s="43"/>
      <c r="S22" s="43">
        <f>((P22+Q22)*2%)</f>
        <v>3008.7200000000003</v>
      </c>
      <c r="T22" s="43">
        <f t="shared" si="19"/>
        <v>150436</v>
      </c>
      <c r="U22" s="43">
        <f>'Biểu 01'!AA26</f>
        <v>100290.40000000001</v>
      </c>
      <c r="V22" s="43"/>
      <c r="W22" s="43">
        <f>((T22+U22)*2%)</f>
        <v>5014.5280000000002</v>
      </c>
      <c r="X22" s="43">
        <f t="shared" si="20"/>
        <v>250726.40000000002</v>
      </c>
    </row>
    <row r="23" spans="1:24" ht="42" customHeight="1" x14ac:dyDescent="0.25">
      <c r="A23" s="48">
        <v>3</v>
      </c>
      <c r="B23" s="36" t="s">
        <v>62</v>
      </c>
      <c r="C23" s="48" t="s">
        <v>65</v>
      </c>
      <c r="D23" s="41"/>
      <c r="E23" s="41"/>
      <c r="F23" s="41"/>
      <c r="G23" s="41"/>
      <c r="H23" s="41"/>
      <c r="I23" s="41"/>
      <c r="J23" s="41"/>
      <c r="K23" s="41"/>
      <c r="L23" s="43">
        <f t="shared" si="21"/>
        <v>0</v>
      </c>
      <c r="M23" s="43">
        <f>'[1]2.03'!S30</f>
        <v>69387.600000000006</v>
      </c>
      <c r="N23" s="43"/>
      <c r="O23" s="43">
        <f>((M23+L23)*0.97%+((0.94+0.17)*1000))</f>
        <v>1783.0597199999997</v>
      </c>
      <c r="P23" s="43">
        <f>L23+M23-N23</f>
        <v>69387.600000000006</v>
      </c>
      <c r="Q23" s="43">
        <f>'[1]2.03'!W30</f>
        <v>83265.36</v>
      </c>
      <c r="R23" s="41"/>
      <c r="S23" s="43">
        <f>((P23+Q23)*1.07%)+((0.73+0.52)*1000)</f>
        <v>2883.3866720000005</v>
      </c>
      <c r="T23" s="43">
        <f t="shared" si="19"/>
        <v>152652.96000000002</v>
      </c>
      <c r="U23" s="43">
        <f>'Biểu 01'!AA27</f>
        <v>173469.2</v>
      </c>
      <c r="V23" s="41"/>
      <c r="W23" s="43">
        <f>((T23+U23)*1.07%)+((0.73+0.52)*1000)</f>
        <v>4739.5071120000011</v>
      </c>
      <c r="X23" s="43">
        <f t="shared" si="20"/>
        <v>326122.16000000003</v>
      </c>
    </row>
    <row r="24" spans="1:24" ht="32.450000000000003" customHeight="1" x14ac:dyDescent="0.25">
      <c r="A24" s="48">
        <v>4</v>
      </c>
      <c r="B24" s="36" t="s">
        <v>105</v>
      </c>
      <c r="C24" s="48"/>
      <c r="D24" s="41"/>
      <c r="E24" s="41"/>
      <c r="F24" s="41"/>
      <c r="G24" s="41"/>
      <c r="H24" s="41"/>
      <c r="I24" s="41"/>
      <c r="J24" s="41"/>
      <c r="K24" s="41"/>
      <c r="L24" s="43">
        <f t="shared" si="21"/>
        <v>0</v>
      </c>
      <c r="M24" s="43">
        <f>'[1]2.03'!S31</f>
        <v>117819</v>
      </c>
      <c r="N24" s="43"/>
      <c r="O24" s="43">
        <f>(L24+M24)*1%</f>
        <v>1178.19</v>
      </c>
      <c r="P24" s="43">
        <f t="shared" si="18"/>
        <v>117819</v>
      </c>
      <c r="Q24" s="43">
        <f>'[1]2.03'!W31</f>
        <v>196365</v>
      </c>
      <c r="R24" s="43"/>
      <c r="S24" s="43">
        <f>(P24+Q24)*1%</f>
        <v>3141.84</v>
      </c>
      <c r="T24" s="43">
        <f t="shared" si="19"/>
        <v>314184</v>
      </c>
      <c r="U24" s="43">
        <f>'Biểu 01'!AA28</f>
        <v>196571</v>
      </c>
      <c r="V24" s="43"/>
      <c r="W24" s="43">
        <f>(T24+U24)*1%</f>
        <v>5107.55</v>
      </c>
      <c r="X24" s="43">
        <f t="shared" si="20"/>
        <v>510755</v>
      </c>
    </row>
    <row r="26" spans="1:24" x14ac:dyDescent="0.25">
      <c r="A26" s="40" t="s">
        <v>106</v>
      </c>
    </row>
    <row r="27" spans="1:24" x14ac:dyDescent="0.25">
      <c r="B27" s="40" t="s">
        <v>107</v>
      </c>
    </row>
  </sheetData>
  <mergeCells count="13">
    <mergeCell ref="Q8:T8"/>
    <mergeCell ref="V7:X7"/>
    <mergeCell ref="U8:X8"/>
    <mergeCell ref="A5:T5"/>
    <mergeCell ref="A6:T6"/>
    <mergeCell ref="R7:T7"/>
    <mergeCell ref="A8:A9"/>
    <mergeCell ref="B8:B9"/>
    <mergeCell ref="C8:C9"/>
    <mergeCell ref="D8:D9"/>
    <mergeCell ref="E8:H8"/>
    <mergeCell ref="I8:L8"/>
    <mergeCell ref="M8:P8"/>
  </mergeCells>
  <pageMargins left="0.38" right="0.16"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D3810B-9E37-4D93-9DF9-496CCC53EF0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C68AEB6-72DF-4580-BD2F-6F1040ADA3A0}">
  <ds:schemaRefs>
    <ds:schemaRef ds:uri="http://schemas.microsoft.com/sharepoint/v3/contenttype/forms"/>
  </ds:schemaRefs>
</ds:datastoreItem>
</file>

<file path=customXml/itemProps3.xml><?xml version="1.0" encoding="utf-8"?>
<ds:datastoreItem xmlns:ds="http://schemas.openxmlformats.org/officeDocument/2006/customXml" ds:itemID="{3EC07AB2-51EC-42D9-8436-AAAF98E76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Biểu 02</vt:lpstr>
      <vt:lpstr>Biểu 01</vt:lpstr>
      <vt:lpstr>2.04</vt:lpstr>
      <vt:lpstr>'2.04'!Print_Titles</vt:lpstr>
      <vt:lpstr>'Biểu 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2021-07-29T03:36:02Z</dcterms:modified>
</cp:coreProperties>
</file>