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605" windowHeight="7875" firstSheet="4" activeTab="22"/>
  </bookViews>
  <sheets>
    <sheet name="Tên phần" sheetId="22" r:id="rId1"/>
    <sheet name="Giai thich" sheetId="24" r:id="rId2"/>
    <sheet name="Tong quan" sheetId="23" state="hidden" r:id="rId3"/>
    <sheet name="Thuong mai" sheetId="1" r:id="rId4"/>
    <sheet name="243" sheetId="25" r:id="rId5"/>
    <sheet name="244" sheetId="18" r:id="rId6"/>
    <sheet name="245" sheetId="27" r:id="rId7"/>
    <sheet name="246" sheetId="28" r:id="rId8"/>
    <sheet name="247" sheetId="8" r:id="rId9"/>
    <sheet name="248" sheetId="10" r:id="rId10"/>
    <sheet name="249" sheetId="21" r:id="rId11"/>
    <sheet name="250" sheetId="30" r:id="rId12"/>
    <sheet name="251" sheetId="32" r:id="rId13"/>
    <sheet name="252" sheetId="33" r:id="rId14"/>
    <sheet name="253" sheetId="14" r:id="rId15"/>
    <sheet name="254" sheetId="15" r:id="rId16"/>
    <sheet name="255" sheetId="35" r:id="rId17"/>
    <sheet name="186" sheetId="16" state="hidden" r:id="rId18"/>
    <sheet name="187" sheetId="17" state="hidden" r:id="rId19"/>
    <sheet name="256." sheetId="36" r:id="rId20"/>
    <sheet name="257." sheetId="37" r:id="rId21"/>
    <sheet name="258." sheetId="38" r:id="rId22"/>
    <sheet name="259." sheetId="39" r:id="rId23"/>
  </sheets>
  <definedNames>
    <definedName name="_____h1" hidden="1">{"'TDTGT (theo Dphuong)'!$A$4:$F$75"}</definedName>
    <definedName name="____h1" hidden="1">{"'TDTGT (theo Dphuong)'!$A$4:$F$75"}</definedName>
    <definedName name="___h1" hidden="1">{"'TDTGT (theo Dphuong)'!$A$4:$F$75"}</definedName>
    <definedName name="__h1" hidden="1">{"'TDTGT (theo Dphuong)'!$A$4:$F$75"}</definedName>
    <definedName name="_Fill" localSheetId="16" hidden="1">#REF!</definedName>
    <definedName name="_Fill" hidden="1">#REF!</definedName>
    <definedName name="_h1" localSheetId="4" hidden="1">{"'TDTGT (theo Dphuong)'!$A$4:$F$75"}</definedName>
    <definedName name="_h1" localSheetId="14" hidden="1">{"'TDTGT (theo Dphuong)'!$A$4:$F$75"}</definedName>
    <definedName name="_h1" localSheetId="3" hidden="1">{"'TDTGT (theo Dphuong)'!$A$4:$F$75"}</definedName>
    <definedName name="_h1" hidden="1">{"'TDTGT (theo Dphuong)'!$A$4:$F$75"}</definedName>
    <definedName name="abc" hidden="1">{"'TDTGT (theo Dphuong)'!$A$4:$F$75"}</definedName>
    <definedName name="anpha" localSheetId="16">#REF!</definedName>
    <definedName name="anpha">#REF!</definedName>
    <definedName name="beta" localSheetId="16">#REF!</definedName>
    <definedName name="beta">#REF!</definedName>
    <definedName name="BT" localSheetId="16">#REF!</definedName>
    <definedName name="BT">#REF!</definedName>
    <definedName name="CS_10" localSheetId="16">#REF!</definedName>
    <definedName name="CS_10">#REF!</definedName>
    <definedName name="CS_100" localSheetId="16">#REF!</definedName>
    <definedName name="CS_100">#REF!</definedName>
    <definedName name="CS_10S" localSheetId="16">#REF!</definedName>
    <definedName name="CS_10S">#REF!</definedName>
    <definedName name="CS_120" localSheetId="16">#REF!</definedName>
    <definedName name="CS_120">#REF!</definedName>
    <definedName name="CS_140" localSheetId="16">#REF!</definedName>
    <definedName name="CS_140">#REF!</definedName>
    <definedName name="CS_160" localSheetId="16">#REF!</definedName>
    <definedName name="CS_160">#REF!</definedName>
    <definedName name="CS_20" localSheetId="16">#REF!</definedName>
    <definedName name="CS_20">#REF!</definedName>
    <definedName name="CS_30" localSheetId="16">#REF!</definedName>
    <definedName name="CS_30">#REF!</definedName>
    <definedName name="CS_40" localSheetId="16">#REF!</definedName>
    <definedName name="CS_40">#REF!</definedName>
    <definedName name="CS_40S" localSheetId="16">#REF!</definedName>
    <definedName name="CS_40S">#REF!</definedName>
    <definedName name="CS_5S" localSheetId="16">#REF!</definedName>
    <definedName name="CS_5S">#REF!</definedName>
    <definedName name="CS_60" localSheetId="16">#REF!</definedName>
    <definedName name="CS_60">#REF!</definedName>
    <definedName name="CS_80" localSheetId="16">#REF!</definedName>
    <definedName name="CS_80">#REF!</definedName>
    <definedName name="CS_80S" localSheetId="16">#REF!</definedName>
    <definedName name="CS_80S">#REF!</definedName>
    <definedName name="CS_STD" localSheetId="16">#REF!</definedName>
    <definedName name="CS_STD">#REF!</definedName>
    <definedName name="CS_XS" localSheetId="16">#REF!</definedName>
    <definedName name="CS_XS">#REF!</definedName>
    <definedName name="CS_XXS" localSheetId="16">#REF!</definedName>
    <definedName name="CS_XXS">#REF!</definedName>
    <definedName name="cv" hidden="1">{"'TDTGT (theo Dphuong)'!$A$4:$F$75"}</definedName>
    <definedName name="cx" localSheetId="16">#REF!</definedName>
    <definedName name="cx">#REF!</definedName>
    <definedName name="dg" localSheetId="16">#REF!</definedName>
    <definedName name="dg">#REF!</definedName>
    <definedName name="dien" localSheetId="16">#REF!</definedName>
    <definedName name="dien">#REF!</definedName>
    <definedName name="h" localSheetId="4" hidden="1">{"'TDTGT (theo Dphuong)'!$A$4:$F$75"}</definedName>
    <definedName name="h" localSheetId="14" hidden="1">{"'TDTGT (theo Dphuong)'!$A$4:$F$75"}</definedName>
    <definedName name="h" localSheetId="3" hidden="1">{"'TDTGT (theo Dphuong)'!$A$4:$F$75"}</definedName>
    <definedName name="h" hidden="1">{"'TDTGT (theo Dphuong)'!$A$4:$F$75"}</definedName>
    <definedName name="hab" localSheetId="16">#REF!</definedName>
    <definedName name="hab">#REF!</definedName>
    <definedName name="habac" localSheetId="16">#REF!</definedName>
    <definedName name="habac">#REF!</definedName>
    <definedName name="HTML_CodePage" hidden="1">1252</definedName>
    <definedName name="HTML_Control" localSheetId="4" hidden="1">{"'TDTGT (theo Dphuong)'!$A$4:$F$75"}</definedName>
    <definedName name="HTML_Control" localSheetId="14" hidden="1">{"'TDTGT (theo Dphuong)'!$A$4:$F$75"}</definedName>
    <definedName name="HTML_Control" localSheetId="3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hidden="1">{#N/A,#N/A,FALSE,"Chung"}</definedName>
    <definedName name="kjh" hidden="1">{#N/A,#N/A,FALSE,"Chung"}</definedName>
    <definedName name="mc" localSheetId="16">#REF!</definedName>
    <definedName name="mc">#REF!</definedName>
    <definedName name="nuoc" localSheetId="16">#REF!</definedName>
    <definedName name="nuoc">#REF!</definedName>
    <definedName name="nhan" localSheetId="16">#REF!</definedName>
    <definedName name="nhan">#REF!</definedName>
    <definedName name="_xlnm.Print_Area" localSheetId="4">'243'!$A$1:$G$36</definedName>
    <definedName name="_xlnm.Print_Area" localSheetId="5">'244'!$A$1:$F$27</definedName>
    <definedName name="_xlnm.Print_Area" localSheetId="6">'245'!$A$1:$G$18</definedName>
    <definedName name="_xlnm.Print_Area" localSheetId="7">'246'!$A$1:$G$56</definedName>
    <definedName name="_xlnm.Print_Area" localSheetId="8">'247'!$A$1:$G$37</definedName>
    <definedName name="_xlnm.Print_Area" localSheetId="9">'248'!$A$1:$G$13</definedName>
    <definedName name="_xlnm.Print_Area" localSheetId="10">'249'!$A$1:$G$19</definedName>
    <definedName name="_xlnm.Print_Area" localSheetId="11">'250'!$A$1:$H$41</definedName>
    <definedName name="_xlnm.Print_Area" localSheetId="12">'251'!$A$1:$H$27</definedName>
    <definedName name="_xlnm.Print_Area" localSheetId="13">'252'!$A$1:$F$30</definedName>
    <definedName name="_xlnm.Print_Area" localSheetId="14">'253'!$A$1:$G$41</definedName>
    <definedName name="_xlnm.Print_Area" localSheetId="15">'254'!$A$1:$G$14</definedName>
    <definedName name="_xlnm.Print_Area" localSheetId="16">'255'!$A$1:$H$31</definedName>
    <definedName name="_xlnm.Print_Area" localSheetId="19">'256.'!$A$1:$G$40</definedName>
    <definedName name="_xlnm.Print_Area" localSheetId="20">'257.'!$A$1:$G$44</definedName>
    <definedName name="_xlnm.Print_Area" localSheetId="21">'258.'!$A$1:$H$54</definedName>
    <definedName name="_xlnm.Print_Area" localSheetId="22">'259.'!$A$1:$H$36</definedName>
    <definedName name="_xlnm.Print_Area" localSheetId="1">'Giai thich'!$A$1:$D$96</definedName>
    <definedName name="_xlnm.Print_Area" localSheetId="3">'Thuong mai'!$A$1:$C$53</definedName>
    <definedName name="_xlnm.Print_Titles" localSheetId="3">'Thuong mai'!$3:$7</definedName>
    <definedName name="pt" localSheetId="16">#REF!</definedName>
    <definedName name="pt">#REF!</definedName>
    <definedName name="SORT" localSheetId="16">#REF!</definedName>
    <definedName name="SORT">#REF!</definedName>
    <definedName name="TBA" localSheetId="16">#REF!</definedName>
    <definedName name="TBA">#REF!</definedName>
    <definedName name="th_bl" localSheetId="16">#REF!</definedName>
    <definedName name="th_bl">#REF!</definedName>
    <definedName name="vv" hidden="1">{"'TDTGT (theo Dphuong)'!$A$4:$F$75"}</definedName>
    <definedName name="wrn.thu." localSheetId="4" hidden="1">{#N/A,#N/A,FALSE,"Chung"}</definedName>
    <definedName name="wrn.thu." localSheetId="14" hidden="1">{#N/A,#N/A,FALSE,"Chung"}</definedName>
    <definedName name="wrn.thu." localSheetId="3" hidden="1">{#N/A,#N/A,FALSE,"Chung"}</definedName>
    <definedName name="wrn.thu." hidden="1">{#N/A,#N/A,FALSE,"Chung"}</definedName>
    <definedName name="ZYX" localSheetId="16">#REF!</definedName>
    <definedName name="ZYX">#REF!</definedName>
    <definedName name="ZZZ" localSheetId="16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7" i="18" l="1"/>
  <c r="C17" i="18"/>
  <c r="H31" i="30" l="1"/>
  <c r="H26" i="30"/>
  <c r="H22" i="30"/>
  <c r="G10" i="15"/>
  <c r="H31" i="39" l="1"/>
  <c r="G31" i="39"/>
  <c r="H27" i="38"/>
  <c r="G27" i="38"/>
  <c r="G43" i="37"/>
  <c r="G27" i="37"/>
  <c r="G20" i="37"/>
  <c r="G15" i="37" s="1"/>
  <c r="G18" i="37"/>
  <c r="G37" i="37" s="1"/>
  <c r="G11" i="37"/>
  <c r="G7" i="37"/>
  <c r="F18" i="37"/>
  <c r="G16" i="37" l="1"/>
  <c r="F7" i="37"/>
  <c r="G28" i="37" s="1"/>
  <c r="G33" i="36"/>
  <c r="G24" i="36"/>
  <c r="G17" i="36"/>
  <c r="G11" i="36"/>
  <c r="G7" i="36"/>
  <c r="G25" i="36" s="1"/>
  <c r="G29" i="14" l="1"/>
  <c r="G27" i="14"/>
  <c r="G19" i="14"/>
  <c r="G16" i="14" s="1"/>
  <c r="G40" i="14" s="1"/>
  <c r="G11" i="14"/>
  <c r="G8" i="14" s="1"/>
  <c r="G32" i="14" s="1"/>
  <c r="E27" i="33"/>
  <c r="E20" i="33"/>
  <c r="E13" i="33"/>
  <c r="C25" i="33"/>
  <c r="C26" i="33"/>
  <c r="C28" i="33"/>
  <c r="C29" i="33"/>
  <c r="C19" i="33"/>
  <c r="C21" i="33"/>
  <c r="C22" i="33"/>
  <c r="C18" i="33"/>
  <c r="C12" i="33"/>
  <c r="C14" i="33"/>
  <c r="C15" i="33"/>
  <c r="C11" i="33"/>
  <c r="H24" i="32"/>
  <c r="H21" i="32" s="1"/>
  <c r="C24" i="33" s="1"/>
  <c r="H17" i="32"/>
  <c r="C20" i="33" s="1"/>
  <c r="H10" i="32"/>
  <c r="C13" i="33" s="1"/>
  <c r="H14" i="32"/>
  <c r="C17" i="33" s="1"/>
  <c r="H7" i="32"/>
  <c r="C10" i="33" s="1"/>
  <c r="G30" i="14" l="1"/>
  <c r="G37" i="14"/>
  <c r="G38" i="14"/>
  <c r="G35" i="14"/>
  <c r="G39" i="14"/>
  <c r="G36" i="14" s="1"/>
  <c r="C27" i="33"/>
  <c r="G31" i="14"/>
  <c r="G33" i="14" l="1"/>
  <c r="G28" i="14"/>
  <c r="G25" i="14" s="1"/>
  <c r="G9" i="21"/>
  <c r="G15" i="8"/>
  <c r="G14" i="8"/>
  <c r="G12" i="8" s="1"/>
  <c r="F15" i="8"/>
  <c r="F14" i="8"/>
  <c r="G10" i="28"/>
  <c r="F25" i="28"/>
  <c r="F23" i="28"/>
  <c r="F22" i="28"/>
  <c r="G25" i="28"/>
  <c r="G23" i="28"/>
  <c r="G22" i="28"/>
  <c r="F10" i="28"/>
  <c r="E17" i="18"/>
  <c r="G10" i="25"/>
  <c r="G8" i="8" l="1"/>
  <c r="G35" i="8" s="1"/>
  <c r="G7" i="28"/>
  <c r="G8" i="27"/>
  <c r="G7" i="25"/>
  <c r="B17" i="18" l="1"/>
  <c r="G30" i="8"/>
  <c r="G52" i="28"/>
  <c r="G47" i="28"/>
  <c r="G35" i="25"/>
  <c r="G7" i="27"/>
  <c r="G28" i="25"/>
  <c r="G28" i="8"/>
  <c r="G5" i="8"/>
  <c r="G19" i="8"/>
  <c r="G29" i="8"/>
  <c r="G36" i="8"/>
  <c r="G26" i="8"/>
  <c r="G31" i="8"/>
  <c r="G49" i="28"/>
  <c r="G39" i="28"/>
  <c r="G43" i="28"/>
  <c r="G53" i="28"/>
  <c r="G50" i="28"/>
  <c r="G44" i="28"/>
  <c r="G54" i="28"/>
  <c r="G41" i="28"/>
  <c r="G51" i="28"/>
  <c r="G55" i="28"/>
  <c r="G16" i="28"/>
  <c r="G42" i="28"/>
  <c r="G48" i="28"/>
  <c r="G24" i="25"/>
  <c r="G29" i="25"/>
  <c r="G26" i="25"/>
  <c r="G33" i="25"/>
  <c r="G27" i="25"/>
  <c r="G34" i="25"/>
  <c r="G16" i="25"/>
  <c r="G25" i="25" l="1"/>
  <c r="G22" i="25" s="1"/>
  <c r="E26" i="18"/>
  <c r="F17" i="18"/>
  <c r="F26" i="18" s="1"/>
  <c r="D26" i="18"/>
  <c r="C26" i="18"/>
  <c r="G27" i="8"/>
  <c r="G23" i="8" s="1"/>
  <c r="G40" i="28"/>
  <c r="G37" i="28" s="1"/>
  <c r="G46" i="28" s="1"/>
  <c r="F13" i="39"/>
  <c r="Z23" i="18"/>
  <c r="J34" i="27"/>
  <c r="T35" i="28"/>
  <c r="T34" i="8"/>
  <c r="B26" i="18" l="1"/>
  <c r="F42" i="38"/>
  <c r="F27" i="38"/>
  <c r="F40" i="38" l="1"/>
  <c r="F43" i="37" l="1"/>
  <c r="F42" i="37"/>
  <c r="F37" i="37"/>
  <c r="F28" i="37"/>
  <c r="F27" i="37"/>
  <c r="G13" i="37"/>
  <c r="F20" i="37"/>
  <c r="G39" i="37" s="1"/>
  <c r="F11" i="37"/>
  <c r="G31" i="37" s="1"/>
  <c r="F33" i="36"/>
  <c r="F24" i="36"/>
  <c r="F11" i="36"/>
  <c r="F25" i="36"/>
  <c r="G46" i="30"/>
  <c r="G47" i="30"/>
  <c r="D10" i="15"/>
  <c r="E10" i="15"/>
  <c r="F10" i="15"/>
  <c r="F11" i="14"/>
  <c r="F8" i="14" s="1"/>
  <c r="F30" i="14" s="1"/>
  <c r="F19" i="14"/>
  <c r="F16" i="14" s="1"/>
  <c r="G24" i="32"/>
  <c r="G21" i="32" s="1"/>
  <c r="G17" i="32"/>
  <c r="G14" i="32"/>
  <c r="F7" i="32"/>
  <c r="G7" i="32"/>
  <c r="G10" i="32"/>
  <c r="G31" i="30"/>
  <c r="G45" i="30" s="1"/>
  <c r="F26" i="30"/>
  <c r="G26" i="30"/>
  <c r="G22" i="30"/>
  <c r="G20" i="30"/>
  <c r="G15" i="30"/>
  <c r="G10" i="30"/>
  <c r="F7" i="28"/>
  <c r="F8" i="27"/>
  <c r="F17" i="36" l="1"/>
  <c r="G35" i="36" s="1"/>
  <c r="G29" i="36"/>
  <c r="F47" i="28"/>
  <c r="F43" i="28"/>
  <c r="F15" i="37"/>
  <c r="E16" i="18"/>
  <c r="F4" i="28"/>
  <c r="F42" i="28"/>
  <c r="F41" i="28"/>
  <c r="F44" i="28"/>
  <c r="F39" i="28"/>
  <c r="F39" i="14"/>
  <c r="F35" i="14"/>
  <c r="F40" i="14"/>
  <c r="F37" i="14"/>
  <c r="F38" i="14"/>
  <c r="F31" i="14"/>
  <c r="F27" i="14"/>
  <c r="F32" i="14"/>
  <c r="F29" i="14"/>
  <c r="F12" i="8"/>
  <c r="F8" i="8" s="1"/>
  <c r="F16" i="37" l="1"/>
  <c r="G34" i="37"/>
  <c r="F29" i="8"/>
  <c r="F5" i="8"/>
  <c r="F30" i="8"/>
  <c r="F19" i="8"/>
  <c r="F13" i="37"/>
  <c r="F40" i="28"/>
  <c r="F37" i="28" s="1"/>
  <c r="F31" i="8"/>
  <c r="F35" i="8"/>
  <c r="F26" i="8"/>
  <c r="F36" i="8"/>
  <c r="F28" i="8"/>
  <c r="F36" i="14"/>
  <c r="F33" i="14" s="1"/>
  <c r="F28" i="14"/>
  <c r="F25" i="14" s="1"/>
  <c r="F35" i="37" l="1"/>
  <c r="G35" i="37"/>
  <c r="F27" i="8"/>
  <c r="F23" i="8" s="1"/>
  <c r="E11" i="14"/>
  <c r="F13" i="21"/>
  <c r="F14" i="21"/>
  <c r="E9" i="25"/>
  <c r="F9" i="21" l="1"/>
  <c r="E21" i="8"/>
  <c r="E15" i="8"/>
  <c r="E14" i="8"/>
  <c r="E25" i="28"/>
  <c r="E23" i="28"/>
  <c r="E22" i="28"/>
  <c r="E10" i="25"/>
  <c r="F10" i="25"/>
  <c r="F7" i="25" s="1"/>
  <c r="F16" i="25" l="1"/>
  <c r="F28" i="25"/>
  <c r="F7" i="27"/>
  <c r="F48" i="28"/>
  <c r="F49" i="28"/>
  <c r="F50" i="28"/>
  <c r="F51" i="28"/>
  <c r="F52" i="28"/>
  <c r="F53" i="28"/>
  <c r="F54" i="28"/>
  <c r="F55" i="28"/>
  <c r="F16" i="28"/>
  <c r="D16" i="18"/>
  <c r="C16" i="18"/>
  <c r="B16" i="18"/>
  <c r="F46" i="28" l="1"/>
  <c r="F16" i="18"/>
  <c r="F25" i="18" s="1"/>
  <c r="F24" i="25"/>
  <c r="F26" i="25"/>
  <c r="F27" i="25"/>
  <c r="F29" i="25"/>
  <c r="F33" i="25"/>
  <c r="F34" i="25"/>
  <c r="F35" i="25"/>
  <c r="C25" i="18"/>
  <c r="D25" i="18"/>
  <c r="E25" i="18"/>
  <c r="F25" i="25" l="1"/>
  <c r="F22" i="25" s="1"/>
  <c r="B25" i="18"/>
  <c r="B51" i="36"/>
  <c r="C51" i="36"/>
  <c r="D51" i="36"/>
  <c r="E51" i="36"/>
  <c r="B52" i="36"/>
  <c r="C52" i="36"/>
  <c r="B53" i="36"/>
  <c r="C53" i="36"/>
  <c r="D53" i="36"/>
  <c r="E53" i="36"/>
  <c r="B48" i="36"/>
  <c r="C48" i="36"/>
  <c r="D48" i="36"/>
  <c r="E48" i="36"/>
  <c r="B49" i="36"/>
  <c r="B50" i="36" l="1"/>
  <c r="C47" i="30"/>
  <c r="D47" i="30"/>
  <c r="E47" i="30"/>
  <c r="F47" i="30"/>
  <c r="C46" i="30"/>
  <c r="D46" i="30"/>
  <c r="E46" i="30"/>
  <c r="F46" i="30"/>
  <c r="F31" i="39" l="1"/>
  <c r="F29" i="39"/>
  <c r="E29" i="39"/>
  <c r="E13" i="39"/>
  <c r="E27" i="38"/>
  <c r="E42" i="37"/>
  <c r="C15" i="37"/>
  <c r="D15" i="37"/>
  <c r="E15" i="37"/>
  <c r="F34" i="37" s="1"/>
  <c r="C20" i="37"/>
  <c r="D20" i="37"/>
  <c r="E20" i="37"/>
  <c r="E13" i="37" l="1"/>
  <c r="F39" i="37"/>
  <c r="E24" i="33"/>
  <c r="E17" i="33"/>
  <c r="E10" i="33"/>
  <c r="D24" i="33"/>
  <c r="D17" i="33"/>
  <c r="D10" i="33"/>
  <c r="F24" i="32"/>
  <c r="F21" i="32" s="1"/>
  <c r="F17" i="32"/>
  <c r="F14" i="32"/>
  <c r="F10" i="32"/>
  <c r="C14" i="32"/>
  <c r="D14" i="32"/>
  <c r="E14" i="32"/>
  <c r="C7" i="32"/>
  <c r="D7" i="32"/>
  <c r="E7" i="32"/>
  <c r="F31" i="30"/>
  <c r="F45" i="30" s="1"/>
  <c r="F22" i="30"/>
  <c r="F20" i="30"/>
  <c r="F15" i="30"/>
  <c r="F10" i="30"/>
  <c r="E19" i="14"/>
  <c r="E16" i="14" s="1"/>
  <c r="E8" i="14"/>
  <c r="E12" i="8"/>
  <c r="E10" i="28"/>
  <c r="E7" i="28" s="1"/>
  <c r="E47" i="28" s="1"/>
  <c r="D15" i="18"/>
  <c r="C15" i="18"/>
  <c r="D15" i="8"/>
  <c r="D14" i="8"/>
  <c r="D25" i="28"/>
  <c r="D23" i="28"/>
  <c r="D22" i="28"/>
  <c r="E8" i="27"/>
  <c r="D10" i="27"/>
  <c r="D9" i="25"/>
  <c r="E30" i="14" l="1"/>
  <c r="E16" i="28"/>
  <c r="E15" i="18"/>
  <c r="E4" i="28"/>
  <c r="E43" i="28"/>
  <c r="E42" i="38"/>
  <c r="E40" i="38"/>
  <c r="E43" i="37"/>
  <c r="E37" i="37"/>
  <c r="E35" i="37"/>
  <c r="E11" i="36" l="1"/>
  <c r="F29" i="36" s="1"/>
  <c r="E17" i="36" l="1"/>
  <c r="E49" i="36"/>
  <c r="E50" i="36" s="1"/>
  <c r="E33" i="36"/>
  <c r="E24" i="36"/>
  <c r="E40" i="14"/>
  <c r="E39" i="14"/>
  <c r="E38" i="14"/>
  <c r="E37" i="14"/>
  <c r="E35" i="14"/>
  <c r="E32" i="14"/>
  <c r="E31" i="14"/>
  <c r="E29" i="14"/>
  <c r="E27" i="14"/>
  <c r="E8" i="8"/>
  <c r="E55" i="28"/>
  <c r="E54" i="28"/>
  <c r="E53" i="28"/>
  <c r="E52" i="28"/>
  <c r="E51" i="28"/>
  <c r="E50" i="28"/>
  <c r="E49" i="28"/>
  <c r="E48" i="28"/>
  <c r="E44" i="28"/>
  <c r="E42" i="28"/>
  <c r="E41" i="28"/>
  <c r="E39" i="28"/>
  <c r="E7" i="25"/>
  <c r="E16" i="25" l="1"/>
  <c r="E7" i="27"/>
  <c r="E30" i="8"/>
  <c r="E19" i="8"/>
  <c r="E52" i="36"/>
  <c r="F35" i="36"/>
  <c r="E28" i="25"/>
  <c r="B15" i="18"/>
  <c r="C24" i="18" s="1"/>
  <c r="E5" i="8"/>
  <c r="E18" i="8"/>
  <c r="E36" i="14"/>
  <c r="E33" i="14" s="1"/>
  <c r="E28" i="14"/>
  <c r="E25" i="14" s="1"/>
  <c r="E31" i="8"/>
  <c r="E26" i="8"/>
  <c r="E35" i="8"/>
  <c r="E28" i="8"/>
  <c r="E29" i="8"/>
  <c r="E36" i="8"/>
  <c r="E40" i="28"/>
  <c r="E37" i="28" s="1"/>
  <c r="E46" i="28" s="1"/>
  <c r="E24" i="25"/>
  <c r="E29" i="25"/>
  <c r="E26" i="25"/>
  <c r="E33" i="25"/>
  <c r="E27" i="25"/>
  <c r="E34" i="25"/>
  <c r="E35" i="25"/>
  <c r="E11" i="37"/>
  <c r="F31" i="37" s="1"/>
  <c r="E24" i="18" l="1"/>
  <c r="D24" i="18"/>
  <c r="F15" i="18"/>
  <c r="E27" i="8"/>
  <c r="E23" i="8" s="1"/>
  <c r="E25" i="25"/>
  <c r="E22" i="25" s="1"/>
  <c r="F24" i="18" l="1"/>
  <c r="B24" i="18" s="1"/>
  <c r="G15" i="18"/>
  <c r="E31" i="39"/>
  <c r="C28" i="37"/>
  <c r="G24" i="18" l="1"/>
  <c r="C7" i="36"/>
  <c r="D7" i="36"/>
  <c r="D25" i="36" l="1"/>
  <c r="E25" i="36"/>
  <c r="D11" i="39"/>
  <c r="B20" i="37" l="1"/>
  <c r="D40" i="38"/>
  <c r="D35" i="37"/>
  <c r="D37" i="37"/>
  <c r="D43" i="37"/>
  <c r="D24" i="36"/>
  <c r="D33" i="36"/>
  <c r="D11" i="36"/>
  <c r="D49" i="36" s="1"/>
  <c r="D50" i="36" s="1"/>
  <c r="E29" i="36" l="1"/>
  <c r="D17" i="36"/>
  <c r="D52" i="36" s="1"/>
  <c r="C39" i="37"/>
  <c r="E34" i="37"/>
  <c r="D34" i="37"/>
  <c r="E39" i="37"/>
  <c r="D39" i="37"/>
  <c r="D6" i="37"/>
  <c r="D13" i="37" s="1"/>
  <c r="E35" i="36" l="1"/>
  <c r="D35" i="36"/>
  <c r="D7" i="37"/>
  <c r="E27" i="37"/>
  <c r="D11" i="37"/>
  <c r="E31" i="37" s="1"/>
  <c r="E24" i="32"/>
  <c r="E17" i="32"/>
  <c r="E10" i="32"/>
  <c r="E31" i="30"/>
  <c r="E45" i="30" s="1"/>
  <c r="E26" i="30"/>
  <c r="E22" i="30"/>
  <c r="E20" i="30"/>
  <c r="E15" i="30"/>
  <c r="E10" i="30"/>
  <c r="D11" i="14"/>
  <c r="D8" i="14" s="1"/>
  <c r="D19" i="14"/>
  <c r="D16" i="14" s="1"/>
  <c r="D38" i="14" s="1"/>
  <c r="C15" i="8"/>
  <c r="C14" i="8"/>
  <c r="D12" i="8"/>
  <c r="D8" i="8" s="1"/>
  <c r="D10" i="28"/>
  <c r="D7" i="28" s="1"/>
  <c r="D10" i="25"/>
  <c r="C25" i="28"/>
  <c r="C23" i="28"/>
  <c r="C22" i="28"/>
  <c r="D14" i="18"/>
  <c r="D18" i="18" s="1"/>
  <c r="C14" i="18"/>
  <c r="D13" i="18"/>
  <c r="C13" i="18"/>
  <c r="C9" i="25"/>
  <c r="D30" i="14" l="1"/>
  <c r="C18" i="18"/>
  <c r="E14" i="18"/>
  <c r="D47" i="28"/>
  <c r="D43" i="28"/>
  <c r="D5" i="8"/>
  <c r="D30" i="8"/>
  <c r="D39" i="14"/>
  <c r="D37" i="14"/>
  <c r="D40" i="14"/>
  <c r="D35" i="14"/>
  <c r="D31" i="14"/>
  <c r="D20" i="8"/>
  <c r="D18" i="8" s="1"/>
  <c r="D31" i="8"/>
  <c r="D29" i="8"/>
  <c r="D26" i="8"/>
  <c r="D36" i="8"/>
  <c r="D28" i="8"/>
  <c r="E28" i="37"/>
  <c r="D28" i="37"/>
  <c r="D29" i="14"/>
  <c r="D32" i="14"/>
  <c r="D27" i="14"/>
  <c r="D16" i="28"/>
  <c r="D41" i="28"/>
  <c r="D4" i="28"/>
  <c r="D50" i="28"/>
  <c r="D54" i="28"/>
  <c r="D44" i="28"/>
  <c r="D39" i="28"/>
  <c r="D52" i="28"/>
  <c r="D42" i="28"/>
  <c r="D53" i="28"/>
  <c r="D49" i="28"/>
  <c r="D48" i="28"/>
  <c r="D55" i="28"/>
  <c r="D51" i="28"/>
  <c r="D7" i="25"/>
  <c r="D16" i="25" s="1"/>
  <c r="D8" i="27"/>
  <c r="D7" i="27" s="1"/>
  <c r="D19" i="8" l="1"/>
  <c r="D27" i="8"/>
  <c r="D23" i="8" s="1"/>
  <c r="D36" i="14"/>
  <c r="D33" i="14" s="1"/>
  <c r="E18" i="18"/>
  <c r="D33" i="25"/>
  <c r="D28" i="25"/>
  <c r="D35" i="8"/>
  <c r="B14" i="18"/>
  <c r="D35" i="25"/>
  <c r="D26" i="25"/>
  <c r="D24" i="25"/>
  <c r="D29" i="25"/>
  <c r="D27" i="25"/>
  <c r="D34" i="25"/>
  <c r="D28" i="14"/>
  <c r="D25" i="14" s="1"/>
  <c r="D40" i="28"/>
  <c r="D37" i="28" s="1"/>
  <c r="D46" i="28" s="1"/>
  <c r="C40" i="38"/>
  <c r="C43" i="37"/>
  <c r="C42" i="37"/>
  <c r="C37" i="37"/>
  <c r="C35" i="37"/>
  <c r="C6" i="37"/>
  <c r="B15" i="37"/>
  <c r="C35" i="36"/>
  <c r="C33" i="36"/>
  <c r="C24" i="36"/>
  <c r="C11" i="36"/>
  <c r="C49" i="36" s="1"/>
  <c r="C50" i="36" s="1"/>
  <c r="B7" i="36"/>
  <c r="C25" i="36" l="1"/>
  <c r="D27" i="37"/>
  <c r="C13" i="37"/>
  <c r="E23" i="18"/>
  <c r="B18" i="18"/>
  <c r="C23" i="18"/>
  <c r="C34" i="37"/>
  <c r="B6" i="37"/>
  <c r="B13" i="37" s="1"/>
  <c r="D23" i="18"/>
  <c r="F14" i="18"/>
  <c r="C29" i="36"/>
  <c r="D29" i="36"/>
  <c r="D25" i="25"/>
  <c r="C11" i="37"/>
  <c r="G29" i="33"/>
  <c r="G28" i="33"/>
  <c r="G27" i="33"/>
  <c r="G26" i="33"/>
  <c r="G25" i="33"/>
  <c r="F24" i="33"/>
  <c r="G24" i="33" s="1"/>
  <c r="G23" i="33"/>
  <c r="G22" i="33"/>
  <c r="G21" i="33"/>
  <c r="G19" i="33"/>
  <c r="G18" i="33"/>
  <c r="F17" i="33"/>
  <c r="G16" i="33"/>
  <c r="G15" i="33"/>
  <c r="G14" i="33"/>
  <c r="G12" i="33"/>
  <c r="G11" i="33"/>
  <c r="F10" i="33"/>
  <c r="G10" i="33" s="1"/>
  <c r="C25" i="32"/>
  <c r="D24" i="32"/>
  <c r="C23" i="32"/>
  <c r="C18" i="32"/>
  <c r="D17" i="32"/>
  <c r="C16" i="32"/>
  <c r="C11" i="32"/>
  <c r="C10" i="32" s="1"/>
  <c r="D10" i="32"/>
  <c r="G13" i="33" s="1"/>
  <c r="D31" i="30"/>
  <c r="D45" i="30" s="1"/>
  <c r="C31" i="30"/>
  <c r="C45" i="30" s="1"/>
  <c r="D26" i="30"/>
  <c r="C26" i="30"/>
  <c r="D22" i="30"/>
  <c r="C22" i="30"/>
  <c r="D20" i="30"/>
  <c r="D15" i="30"/>
  <c r="D10" i="30"/>
  <c r="B25" i="28"/>
  <c r="B23" i="28"/>
  <c r="B22" i="28"/>
  <c r="C10" i="28"/>
  <c r="C7" i="28" s="1"/>
  <c r="B10" i="28"/>
  <c r="B7" i="28" s="1"/>
  <c r="B44" i="28" s="1"/>
  <c r="C8" i="27"/>
  <c r="B8" i="27"/>
  <c r="C27" i="37" l="1"/>
  <c r="F23" i="18"/>
  <c r="B23" i="18" s="1"/>
  <c r="F18" i="18"/>
  <c r="G14" i="18"/>
  <c r="G18" i="18" s="1"/>
  <c r="C17" i="32"/>
  <c r="C24" i="32"/>
  <c r="B11" i="37"/>
  <c r="D31" i="37"/>
  <c r="D22" i="25"/>
  <c r="B16" i="28"/>
  <c r="B55" i="28"/>
  <c r="B39" i="28"/>
  <c r="B41" i="28"/>
  <c r="B43" i="28"/>
  <c r="B4" i="28"/>
  <c r="C55" i="28"/>
  <c r="C43" i="28"/>
  <c r="B42" i="28"/>
  <c r="C4" i="28"/>
  <c r="C47" i="28"/>
  <c r="C48" i="28"/>
  <c r="C49" i="28"/>
  <c r="C50" i="28"/>
  <c r="C51" i="28"/>
  <c r="C52" i="28"/>
  <c r="C53" i="28"/>
  <c r="C54" i="28"/>
  <c r="B54" i="28"/>
  <c r="B51" i="28"/>
  <c r="B50" i="28"/>
  <c r="B49" i="28"/>
  <c r="B48" i="28"/>
  <c r="B47" i="28"/>
  <c r="B52" i="28"/>
  <c r="B53" i="28"/>
  <c r="C16" i="28"/>
  <c r="C44" i="28"/>
  <c r="C42" i="28"/>
  <c r="C41" i="28"/>
  <c r="C39" i="28"/>
  <c r="C31" i="37" l="1"/>
  <c r="B40" i="28"/>
  <c r="B37" i="28" s="1"/>
  <c r="B46" i="28" s="1"/>
  <c r="C40" i="28"/>
  <c r="C37" i="28" s="1"/>
  <c r="C46" i="28" s="1"/>
  <c r="B10" i="15" l="1"/>
  <c r="C10" i="15"/>
  <c r="C21" i="18"/>
  <c r="C19" i="14"/>
  <c r="C16" i="14" s="1"/>
  <c r="C37" i="14" s="1"/>
  <c r="B19" i="14"/>
  <c r="B16" i="14" s="1"/>
  <c r="B11" i="14"/>
  <c r="B8" i="14" s="1"/>
  <c r="C11" i="14"/>
  <c r="C8" i="14" s="1"/>
  <c r="C20" i="8" s="1"/>
  <c r="C10" i="25"/>
  <c r="C7" i="25" s="1"/>
  <c r="C7" i="27" s="1"/>
  <c r="B10" i="25"/>
  <c r="B9" i="25"/>
  <c r="B15" i="8"/>
  <c r="B14" i="8"/>
  <c r="D21" i="18"/>
  <c r="B9" i="21"/>
  <c r="C9" i="21"/>
  <c r="B8" i="10"/>
  <c r="C8" i="10"/>
  <c r="B12" i="8" l="1"/>
  <c r="B8" i="8" s="1"/>
  <c r="B29" i="8" s="1"/>
  <c r="B13" i="18"/>
  <c r="C29" i="25"/>
  <c r="C28" i="25"/>
  <c r="C27" i="25"/>
  <c r="C26" i="25"/>
  <c r="C35" i="25"/>
  <c r="C34" i="25"/>
  <c r="C33" i="25"/>
  <c r="C24" i="25"/>
  <c r="B32" i="14"/>
  <c r="B20" i="8"/>
  <c r="C16" i="25"/>
  <c r="C12" i="8"/>
  <c r="C8" i="8" s="1"/>
  <c r="B36" i="8"/>
  <c r="C30" i="14"/>
  <c r="C32" i="14"/>
  <c r="B40" i="14"/>
  <c r="B39" i="14"/>
  <c r="B38" i="14"/>
  <c r="B37" i="14"/>
  <c r="E12" i="18"/>
  <c r="B35" i="14"/>
  <c r="B31" i="14"/>
  <c r="B29" i="14"/>
  <c r="B30" i="14"/>
  <c r="B27" i="14"/>
  <c r="C27" i="14"/>
  <c r="C29" i="14"/>
  <c r="C31" i="14"/>
  <c r="B7" i="25"/>
  <c r="C38" i="14"/>
  <c r="E13" i="18"/>
  <c r="C35" i="14"/>
  <c r="C40" i="14"/>
  <c r="C39" i="14"/>
  <c r="B28" i="8"/>
  <c r="B30" i="8" l="1"/>
  <c r="B18" i="8"/>
  <c r="B31" i="8"/>
  <c r="B24" i="25"/>
  <c r="B7" i="27"/>
  <c r="C5" i="8"/>
  <c r="C19" i="8"/>
  <c r="B5" i="8"/>
  <c r="B19" i="8"/>
  <c r="B26" i="8"/>
  <c r="C25" i="25"/>
  <c r="C22" i="25" s="1"/>
  <c r="D22" i="18"/>
  <c r="C22" i="18"/>
  <c r="B35" i="8"/>
  <c r="B16" i="25"/>
  <c r="B35" i="25"/>
  <c r="B34" i="25"/>
  <c r="B33" i="25"/>
  <c r="B28" i="25"/>
  <c r="B29" i="25"/>
  <c r="B27" i="25"/>
  <c r="B26" i="25"/>
  <c r="C28" i="8"/>
  <c r="C18" i="8"/>
  <c r="C29" i="8"/>
  <c r="C31" i="8"/>
  <c r="C35" i="8"/>
  <c r="C26" i="8"/>
  <c r="C36" i="8"/>
  <c r="C30" i="8"/>
  <c r="C36" i="14"/>
  <c r="C33" i="14" s="1"/>
  <c r="B28" i="14"/>
  <c r="B25" i="14" s="1"/>
  <c r="E22" i="18"/>
  <c r="F13" i="18"/>
  <c r="F22" i="18" s="1"/>
  <c r="C28" i="14"/>
  <c r="C25" i="14" s="1"/>
  <c r="F12" i="18"/>
  <c r="F21" i="18" s="1"/>
  <c r="E21" i="18"/>
  <c r="B36" i="14"/>
  <c r="B33" i="14" s="1"/>
  <c r="B27" i="8"/>
  <c r="B23" i="8" l="1"/>
  <c r="B25" i="25"/>
  <c r="B22" i="25" s="1"/>
  <c r="C27" i="8"/>
  <c r="C23" i="8" s="1"/>
  <c r="B22" i="18"/>
  <c r="B21" i="18"/>
  <c r="G17" i="33"/>
  <c r="G20" i="33"/>
</calcChain>
</file>

<file path=xl/comments1.xml><?xml version="1.0" encoding="utf-8"?>
<comments xmlns="http://schemas.openxmlformats.org/spreadsheetml/2006/main">
  <authors>
    <author xml:space="preserve"> 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Truong dieu chinh lai tu nam 2010-2013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106 chợ, theo BC Sở CT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2, theo BC Sở CT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Số ước kỳ NG 2019: 4204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A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bao gồm cả linh kiện điện tử, linh kiện camera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G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 2020: 57.043
</t>
        </r>
      </text>
    </comment>
  </commentList>
</comments>
</file>

<file path=xl/sharedStrings.xml><?xml version="1.0" encoding="utf-8"?>
<sst xmlns="http://schemas.openxmlformats.org/spreadsheetml/2006/main" count="771" uniqueCount="475">
  <si>
    <t>…</t>
  </si>
  <si>
    <r>
      <t xml:space="preserve">Nhà nước - </t>
    </r>
    <r>
      <rPr>
        <i/>
        <sz val="10"/>
        <rFont val="Arial"/>
        <family val="2"/>
      </rPr>
      <t>State</t>
    </r>
  </si>
  <si>
    <r>
      <t xml:space="preserve">Ngoài Nhà nước - </t>
    </r>
    <r>
      <rPr>
        <i/>
        <sz val="10"/>
        <rFont val="Arial"/>
        <family val="2"/>
      </rPr>
      <t>Non-state</t>
    </r>
  </si>
  <si>
    <r>
      <t xml:space="preserve">Tập thể - </t>
    </r>
    <r>
      <rPr>
        <i/>
        <sz val="10"/>
        <rFont val="Arial"/>
        <family val="2"/>
      </rPr>
      <t>Collective</t>
    </r>
  </si>
  <si>
    <r>
      <t xml:space="preserve">Tư nhân - </t>
    </r>
    <r>
      <rPr>
        <i/>
        <sz val="10"/>
        <rFont val="Arial"/>
        <family val="2"/>
      </rPr>
      <t>Private</t>
    </r>
  </si>
  <si>
    <r>
      <t xml:space="preserve">Cá thể - </t>
    </r>
    <r>
      <rPr>
        <i/>
        <sz val="10"/>
        <rFont val="Arial"/>
        <family val="2"/>
      </rPr>
      <t>Household</t>
    </r>
  </si>
  <si>
    <t>Khu vực có vốn đầu tư nước ngoài</t>
  </si>
  <si>
    <t>Foreign Invested Sector</t>
  </si>
  <si>
    <t>Năm</t>
  </si>
  <si>
    <r>
      <t xml:space="preserve">Tổng số chợ - </t>
    </r>
    <r>
      <rPr>
        <b/>
        <i/>
        <sz val="10"/>
        <rFont val="Arial"/>
        <family val="2"/>
      </rPr>
      <t>Total markets</t>
    </r>
  </si>
  <si>
    <r>
      <t>Hạng 1 -</t>
    </r>
    <r>
      <rPr>
        <i/>
        <sz val="10"/>
        <rFont val="Arial"/>
        <family val="2"/>
      </rPr>
      <t xml:space="preserve"> Level 1</t>
    </r>
  </si>
  <si>
    <r>
      <t>Hạng 2 -</t>
    </r>
    <r>
      <rPr>
        <i/>
        <sz val="10"/>
        <rFont val="Arial"/>
        <family val="2"/>
      </rPr>
      <t xml:space="preserve"> Level 2</t>
    </r>
  </si>
  <si>
    <r>
      <t xml:space="preserve">Hạng 3 - </t>
    </r>
    <r>
      <rPr>
        <i/>
        <sz val="10"/>
        <rFont val="Arial"/>
        <family val="2"/>
      </rPr>
      <t>Level 3</t>
    </r>
  </si>
  <si>
    <r>
      <t xml:space="preserve">   Phân theo hạng </t>
    </r>
    <r>
      <rPr>
        <b/>
        <i/>
        <sz val="10"/>
        <rFont val="Arial"/>
        <family val="2"/>
      </rPr>
      <t>- By level</t>
    </r>
  </si>
  <si>
    <t>….</t>
  </si>
  <si>
    <t>Biểu</t>
  </si>
  <si>
    <t>Trang</t>
  </si>
  <si>
    <t>THƯƠNG MẠI VÀ DU LỊCH</t>
  </si>
  <si>
    <t>TRADE AND TOURISM</t>
  </si>
  <si>
    <t>Turnover of travelling at current prices by types of ownership</t>
  </si>
  <si>
    <t>Number of domestic visitors</t>
  </si>
  <si>
    <t>Số lượt khách du lịch nội địa</t>
  </si>
  <si>
    <r>
      <t xml:space="preserve">Khu vực có vốn đầu tư nước ngoài - </t>
    </r>
    <r>
      <rPr>
        <i/>
        <sz val="10"/>
        <rFont val="Arial"/>
        <family val="2"/>
      </rPr>
      <t>FDI</t>
    </r>
  </si>
  <si>
    <r>
      <t xml:space="preserve">Ngoài nhà nước - </t>
    </r>
    <r>
      <rPr>
        <i/>
        <sz val="10"/>
        <rFont val="Arial"/>
        <family val="2"/>
      </rPr>
      <t>Non- State</t>
    </r>
  </si>
  <si>
    <t>Turnover of travel agencies</t>
  </si>
  <si>
    <t>Doanh thu của các cơ sở lữ hành</t>
  </si>
  <si>
    <t>Turnover of accommodation establishments</t>
  </si>
  <si>
    <t>Doanh thu của các cơ sở lưu trú</t>
  </si>
  <si>
    <r>
      <t xml:space="preserve">Sơ bộ
</t>
    </r>
    <r>
      <rPr>
        <i/>
        <sz val="10"/>
        <rFont val="Arial"/>
        <family val="2"/>
      </rPr>
      <t>Prel.</t>
    </r>
    <r>
      <rPr>
        <sz val="10"/>
        <rFont val="Arial"/>
        <family val="2"/>
        <charset val="163"/>
      </rPr>
      <t xml:space="preserve"> …</t>
    </r>
  </si>
  <si>
    <r>
      <t xml:space="preserve">Khách trong ngày - </t>
    </r>
    <r>
      <rPr>
        <i/>
        <sz val="10"/>
        <rFont val="Arial"/>
        <family val="2"/>
      </rPr>
      <t>Visitors in day</t>
    </r>
  </si>
  <si>
    <t>Visitors stay overnight</t>
  </si>
  <si>
    <t>Khách du lịch nghỉ qua đêm</t>
  </si>
  <si>
    <r>
      <t xml:space="preserve">Khác - </t>
    </r>
    <r>
      <rPr>
        <i/>
        <sz val="9.5"/>
        <rFont val="Arial"/>
        <family val="2"/>
      </rPr>
      <t>Others</t>
    </r>
  </si>
  <si>
    <r>
      <t xml:space="preserve">Căn hộ kinh doanh du lịch - </t>
    </r>
    <r>
      <rPr>
        <i/>
        <sz val="9.5"/>
        <rFont val="Arial"/>
        <family val="2"/>
      </rPr>
      <t>Tourist household</t>
    </r>
  </si>
  <si>
    <r>
      <t xml:space="preserve">Làng du lịch - </t>
    </r>
    <r>
      <rPr>
        <i/>
        <sz val="9.5"/>
        <rFont val="Arial"/>
        <family val="2"/>
      </rPr>
      <t>Tourist village</t>
    </r>
  </si>
  <si>
    <r>
      <t xml:space="preserve">Biệt thự kinh doanh du lịch - </t>
    </r>
    <r>
      <rPr>
        <i/>
        <sz val="9.5"/>
        <rFont val="Arial"/>
        <family val="2"/>
      </rPr>
      <t>Tourist villa</t>
    </r>
  </si>
  <si>
    <r>
      <t xml:space="preserve">Nhà nghỉ, nhà khách - </t>
    </r>
    <r>
      <rPr>
        <i/>
        <sz val="9.5"/>
        <rFont val="Arial"/>
        <family val="2"/>
      </rPr>
      <t>Guest house</t>
    </r>
  </si>
  <si>
    <r>
      <t xml:space="preserve">Khách sạn chưa xếp sao - </t>
    </r>
    <r>
      <rPr>
        <i/>
        <sz val="9.5"/>
        <rFont val="Arial"/>
        <family val="2"/>
      </rPr>
      <t>Non-Star hotel</t>
    </r>
  </si>
  <si>
    <r>
      <t xml:space="preserve">Khách sạn 5 sao - </t>
    </r>
    <r>
      <rPr>
        <i/>
        <sz val="9.5"/>
        <rFont val="Arial"/>
        <family val="2"/>
      </rPr>
      <t>5-Star hotel</t>
    </r>
  </si>
  <si>
    <r>
      <t xml:space="preserve">Khách sạn 1 sao - </t>
    </r>
    <r>
      <rPr>
        <i/>
        <sz val="9.5"/>
        <rFont val="Arial"/>
        <family val="2"/>
      </rPr>
      <t>1-Star hotel</t>
    </r>
  </si>
  <si>
    <t>By accommodation</t>
  </si>
  <si>
    <t>Phân theo loại cơ sở lưu trú</t>
  </si>
  <si>
    <r>
      <t xml:space="preserve">Nữ - </t>
    </r>
    <r>
      <rPr>
        <i/>
        <sz val="10"/>
        <rFont val="Arial"/>
        <family val="2"/>
      </rPr>
      <t>Female</t>
    </r>
  </si>
  <si>
    <r>
      <t xml:space="preserve">Nam - </t>
    </r>
    <r>
      <rPr>
        <i/>
        <sz val="10"/>
        <rFont val="Arial"/>
        <family val="2"/>
      </rPr>
      <t>Male</t>
    </r>
  </si>
  <si>
    <r>
      <t xml:space="preserve">Phân theo giới tính - </t>
    </r>
    <r>
      <rPr>
        <b/>
        <i/>
        <sz val="10"/>
        <rFont val="Arial"/>
        <family val="2"/>
      </rPr>
      <t>By sex</t>
    </r>
  </si>
  <si>
    <t>50+</t>
  </si>
  <si>
    <t>20-24</t>
  </si>
  <si>
    <t>15-19</t>
  </si>
  <si>
    <r>
      <t>Phân theo nhóm tuổi</t>
    </r>
    <r>
      <rPr>
        <b/>
        <i/>
        <sz val="10"/>
        <rFont val="Arial"/>
        <family val="2"/>
      </rPr>
      <t xml:space="preserve"> - By age group</t>
    </r>
  </si>
  <si>
    <r>
      <t xml:space="preserve">Các mục đích khác - </t>
    </r>
    <r>
      <rPr>
        <i/>
        <sz val="10"/>
        <color indexed="8"/>
        <rFont val="Arial"/>
        <family val="2"/>
      </rPr>
      <t>Others</t>
    </r>
  </si>
  <si>
    <r>
      <t>Du lịch -</t>
    </r>
    <r>
      <rPr>
        <i/>
        <sz val="10"/>
        <color indexed="8"/>
        <rFont val="Arial"/>
        <family val="2"/>
      </rPr>
      <t xml:space="preserve"> Tourism</t>
    </r>
  </si>
  <si>
    <t>By main purpose of journey</t>
  </si>
  <si>
    <t>Phân theo mục đích đến</t>
  </si>
  <si>
    <t>By means of transport</t>
  </si>
  <si>
    <t>Phân theo phương tiện đến</t>
  </si>
  <si>
    <r>
      <t xml:space="preserve">Chi khác - </t>
    </r>
    <r>
      <rPr>
        <i/>
        <sz val="9.5"/>
        <rFont val="Arial"/>
        <family val="2"/>
      </rPr>
      <t>Others</t>
    </r>
  </si>
  <si>
    <r>
      <t xml:space="preserve">Ăn uống - </t>
    </r>
    <r>
      <rPr>
        <i/>
        <sz val="9.5"/>
        <rFont val="Arial"/>
        <family val="2"/>
      </rPr>
      <t>Food</t>
    </r>
  </si>
  <si>
    <r>
      <t xml:space="preserve">Thuê phòng - </t>
    </r>
    <r>
      <rPr>
        <i/>
        <sz val="9.5"/>
        <rFont val="Arial"/>
        <family val="2"/>
      </rPr>
      <t>Accommodation</t>
    </r>
  </si>
  <si>
    <t>By expenditure</t>
  </si>
  <si>
    <t xml:space="preserve">Phân theo khoản chi </t>
  </si>
  <si>
    <t xml:space="preserve">      </t>
  </si>
  <si>
    <r>
      <t xml:space="preserve">Phân theo nghề nghiệp - </t>
    </r>
    <r>
      <rPr>
        <b/>
        <i/>
        <sz val="10"/>
        <color indexed="8"/>
        <rFont val="Arial"/>
        <family val="2"/>
      </rPr>
      <t>By occupation</t>
    </r>
  </si>
  <si>
    <r>
      <t xml:space="preserve">Chia ra - </t>
    </r>
    <r>
      <rPr>
        <i/>
        <sz val="10"/>
        <color indexed="8"/>
        <rFont val="Arial"/>
        <family val="2"/>
      </rPr>
      <t>Of which</t>
    </r>
  </si>
  <si>
    <t>Total</t>
  </si>
  <si>
    <t>Dịch vụ lưu trú, ăn uống</t>
  </si>
  <si>
    <t xml:space="preserve">Retail sale </t>
  </si>
  <si>
    <r>
      <t>Cơ cấu -</t>
    </r>
    <r>
      <rPr>
        <b/>
        <i/>
        <sz val="10"/>
        <color indexed="8"/>
        <rFont val="Arial"/>
        <family val="2"/>
      </rPr>
      <t xml:space="preserve"> Structure </t>
    </r>
    <r>
      <rPr>
        <b/>
        <sz val="10"/>
        <color indexed="8"/>
        <rFont val="Arial"/>
        <family val="2"/>
      </rPr>
      <t>(%)</t>
    </r>
  </si>
  <si>
    <t xml:space="preserve"> Tourism</t>
  </si>
  <si>
    <t xml:space="preserve"> Other service </t>
  </si>
  <si>
    <t xml:space="preserve">    Tournover of accommodation, food and beverage services at current prices </t>
  </si>
  <si>
    <r>
      <t xml:space="preserve">TỔNG SỐ - </t>
    </r>
    <r>
      <rPr>
        <b/>
        <i/>
        <sz val="9.5"/>
        <rFont val="Arial"/>
        <family val="2"/>
      </rPr>
      <t>TOTAL</t>
    </r>
  </si>
  <si>
    <t>Phân theo quy mô - By size</t>
  </si>
  <si>
    <t>Số lượng chợ phân theo hạng</t>
  </si>
  <si>
    <t>Number of markets by level</t>
  </si>
  <si>
    <r>
      <t xml:space="preserve">TỔNG SỐ - </t>
    </r>
    <r>
      <rPr>
        <b/>
        <i/>
        <sz val="10"/>
        <rFont val="Arial"/>
        <family val="2"/>
      </rPr>
      <t>TOTAL</t>
    </r>
  </si>
  <si>
    <t>By kinds of economic activity</t>
  </si>
  <si>
    <t>Phân theo Ngành kinh doanh</t>
  </si>
  <si>
    <t>Tournover of accommodation, food and beverage services at current prices</t>
  </si>
  <si>
    <t>Giải thích chỉ tiêu</t>
  </si>
  <si>
    <t>Tổng quan tình hình</t>
  </si>
  <si>
    <t xml:space="preserve">Phân theo thành phần kinh tế </t>
  </si>
  <si>
    <t>By types of ownership</t>
  </si>
  <si>
    <t xml:space="preserve">    by types of ownership and by kinds of economic activity</t>
  </si>
  <si>
    <t>by types of ownership and by kinds of economic activity</t>
  </si>
  <si>
    <t>Doanh thu dịch vụ lưu trú và ăn uống theo giá hiện hành</t>
  </si>
  <si>
    <t xml:space="preserve">        Number of super martkets and commercial centers</t>
  </si>
  <si>
    <t xml:space="preserve">        by types of ownership and by size</t>
  </si>
  <si>
    <t>Table</t>
  </si>
  <si>
    <t>Page</t>
  </si>
  <si>
    <t>Số lượt khách do các cơ sở lưu trú phục vụ</t>
  </si>
  <si>
    <t>Số lượt khách do các cơ sở lữ hành phục vụ</t>
  </si>
  <si>
    <t>Number of visitors serviced by accommodationestablishments</t>
  </si>
  <si>
    <t>Number of visitors serviced by travel agencies</t>
  </si>
  <si>
    <r>
      <t xml:space="preserve">ĐVT: Chợ - </t>
    </r>
    <r>
      <rPr>
        <i/>
        <sz val="10"/>
        <rFont val="Arial"/>
        <family val="2"/>
      </rPr>
      <t>Unit: Market</t>
    </r>
  </si>
  <si>
    <r>
      <t xml:space="preserve">ĐVT: Triệu đồng - </t>
    </r>
    <r>
      <rPr>
        <i/>
        <sz val="10"/>
        <rFont val="Arial"/>
        <family val="2"/>
      </rPr>
      <t>Unit: Mill.dongs</t>
    </r>
  </si>
  <si>
    <t xml:space="preserve">         Number of domestic visitors</t>
  </si>
  <si>
    <r>
      <t xml:space="preserve">ĐVT: Lượt người - </t>
    </r>
    <r>
      <rPr>
        <i/>
        <sz val="10"/>
        <rFont val="Arial"/>
        <family val="2"/>
      </rPr>
      <t>Unit: Visitors</t>
    </r>
  </si>
  <si>
    <t xml:space="preserve">        Number of markets by level</t>
  </si>
  <si>
    <t xml:space="preserve">       Turnover of travelling at current prices by types of ownership</t>
  </si>
  <si>
    <t>186. Chi tiêu bình quân một ngày của khách du lịch nội địa</t>
  </si>
  <si>
    <t xml:space="preserve">         Average expenditure per day of domestic tourists</t>
  </si>
  <si>
    <t>187. Chi tiêu bình quân một lượt khách du lịch nội địa</t>
  </si>
  <si>
    <t xml:space="preserve">        Average expenditure of a domestic tourist</t>
  </si>
  <si>
    <t xml:space="preserve"> *Khu vực có vốn đầu tư nước ngoài</t>
  </si>
  <si>
    <t xml:space="preserve">   Foreign Invested Sector</t>
  </si>
  <si>
    <t>Phân theo ngành hoạt động</t>
  </si>
  <si>
    <t>By kind of economic activity</t>
  </si>
  <si>
    <r>
      <t xml:space="preserve">  Siêu thị -</t>
    </r>
    <r>
      <rPr>
        <i/>
        <sz val="10"/>
        <rFont val="Arial"/>
        <family val="2"/>
      </rPr>
      <t>supermarket</t>
    </r>
  </si>
  <si>
    <r>
      <t xml:space="preserve">  Trung tâm thương mại </t>
    </r>
    <r>
      <rPr>
        <i/>
        <sz val="10"/>
        <rFont val="Arial"/>
        <family val="2"/>
      </rPr>
      <t>- Business Center</t>
    </r>
  </si>
  <si>
    <r>
      <t xml:space="preserve">Tổng số </t>
    </r>
    <r>
      <rPr>
        <i/>
        <sz val="9"/>
        <rFont val="Arial"/>
        <family val="2"/>
      </rPr>
      <t>- Total</t>
    </r>
  </si>
  <si>
    <r>
      <t>Phân theo TPKT</t>
    </r>
    <r>
      <rPr>
        <i/>
        <sz val="9"/>
        <rFont val="Arial"/>
        <family val="2"/>
      </rPr>
      <t xml:space="preserve"> - By ownership</t>
    </r>
  </si>
  <si>
    <r>
      <t xml:space="preserve"> * Nhà nước -</t>
    </r>
    <r>
      <rPr>
        <i/>
        <sz val="9"/>
        <rFont val="Arial"/>
        <family val="2"/>
      </rPr>
      <t xml:space="preserve"> State</t>
    </r>
  </si>
  <si>
    <r>
      <t xml:space="preserve"> * Ngoài Nhà nước</t>
    </r>
    <r>
      <rPr>
        <i/>
        <sz val="9"/>
        <rFont val="Arial"/>
        <family val="2"/>
      </rPr>
      <t xml:space="preserve"> - Non - State</t>
    </r>
  </si>
  <si>
    <r>
      <t xml:space="preserve">      Tập thể -</t>
    </r>
    <r>
      <rPr>
        <i/>
        <sz val="9"/>
        <rFont val="Arial"/>
        <family val="2"/>
      </rPr>
      <t xml:space="preserve"> Collective</t>
    </r>
  </si>
  <si>
    <r>
      <t xml:space="preserve">      Tư nhân -</t>
    </r>
    <r>
      <rPr>
        <i/>
        <sz val="9"/>
        <rFont val="Arial"/>
        <family val="2"/>
      </rPr>
      <t xml:space="preserve"> Private</t>
    </r>
  </si>
  <si>
    <r>
      <t xml:space="preserve">      Cá thể -</t>
    </r>
    <r>
      <rPr>
        <i/>
        <sz val="9"/>
        <rFont val="Arial"/>
        <family val="2"/>
      </rPr>
      <t xml:space="preserve"> Household</t>
    </r>
  </si>
  <si>
    <r>
      <t xml:space="preserve"> * Thương mại </t>
    </r>
    <r>
      <rPr>
        <i/>
        <sz val="9"/>
        <rFont val="Arial"/>
        <family val="2"/>
      </rPr>
      <t>- Trade</t>
    </r>
  </si>
  <si>
    <r>
      <t xml:space="preserve"> * Khách sạn, nhà hàng - </t>
    </r>
    <r>
      <rPr>
        <i/>
        <sz val="9"/>
        <rFont val="Arial"/>
        <family val="2"/>
      </rPr>
      <t>Hotels, restaurants</t>
    </r>
  </si>
  <si>
    <r>
      <t xml:space="preserve"> * Dịch vụ -</t>
    </r>
    <r>
      <rPr>
        <i/>
        <sz val="9"/>
        <rFont val="Arial"/>
        <family val="2"/>
      </rPr>
      <t xml:space="preserve"> Services</t>
    </r>
  </si>
  <si>
    <t xml:space="preserve">        theo giá hiện hành phân theo ngành kinh doanh</t>
  </si>
  <si>
    <t xml:space="preserve">        Retail sales of goods and services at current prices by kinds of </t>
  </si>
  <si>
    <t xml:space="preserve">  economic activity</t>
  </si>
  <si>
    <r>
      <t xml:space="preserve">TỔNG SỐ - </t>
    </r>
    <r>
      <rPr>
        <b/>
        <i/>
        <sz val="9"/>
        <rFont val="Arial"/>
        <family val="2"/>
      </rPr>
      <t>TOTAL</t>
    </r>
  </si>
  <si>
    <r>
      <t xml:space="preserve">Nhà nước - </t>
    </r>
    <r>
      <rPr>
        <i/>
        <sz val="9"/>
        <rFont val="Arial"/>
        <family val="2"/>
      </rPr>
      <t>State</t>
    </r>
  </si>
  <si>
    <r>
      <t xml:space="preserve">Ngoài Nhà nước - </t>
    </r>
    <r>
      <rPr>
        <i/>
        <sz val="9"/>
        <rFont val="Arial"/>
        <family val="2"/>
      </rPr>
      <t>Non-state</t>
    </r>
  </si>
  <si>
    <r>
      <t xml:space="preserve">Tập thể - </t>
    </r>
    <r>
      <rPr>
        <i/>
        <sz val="9"/>
        <rFont val="Arial"/>
        <family val="2"/>
      </rPr>
      <t>Collective</t>
    </r>
  </si>
  <si>
    <r>
      <t xml:space="preserve">Tư nhân - </t>
    </r>
    <r>
      <rPr>
        <i/>
        <sz val="9"/>
        <rFont val="Arial"/>
        <family val="2"/>
      </rPr>
      <t>Private</t>
    </r>
  </si>
  <si>
    <r>
      <t xml:space="preserve">Cá thể - </t>
    </r>
    <r>
      <rPr>
        <i/>
        <sz val="9"/>
        <rFont val="Arial"/>
        <family val="2"/>
      </rPr>
      <t>Household</t>
    </r>
  </si>
  <si>
    <r>
      <t xml:space="preserve">Dịch vụ lưu trú - </t>
    </r>
    <r>
      <rPr>
        <i/>
        <sz val="9"/>
        <rFont val="Arial"/>
        <family val="2"/>
      </rPr>
      <t>Accommodation service</t>
    </r>
  </si>
  <si>
    <r>
      <t>Dịch vụ ăn uống -</t>
    </r>
    <r>
      <rPr>
        <i/>
        <sz val="9"/>
        <rFont val="Arial"/>
        <family val="2"/>
      </rPr>
      <t xml:space="preserve"> Food and beverage services</t>
    </r>
  </si>
  <si>
    <t>và theo nhóm hàng</t>
  </si>
  <si>
    <t xml:space="preserve">Retail sales of goods at current prices by types of ownership and </t>
  </si>
  <si>
    <t>by commodity group</t>
  </si>
  <si>
    <t>và theo quy mô</t>
  </si>
  <si>
    <t xml:space="preserve">Number of super martkets and commercial centers by types </t>
  </si>
  <si>
    <t>of ownership and by size</t>
  </si>
  <si>
    <t>Không có nguồn thường xuyên</t>
  </si>
  <si>
    <r>
      <t>ĐVT -</t>
    </r>
    <r>
      <rPr>
        <i/>
        <sz val="10"/>
        <rFont val="Arial"/>
        <family val="2"/>
      </rPr>
      <t xml:space="preserve"> Unit </t>
    </r>
    <r>
      <rPr>
        <sz val="10"/>
        <rFont val="Arial"/>
        <family val="2"/>
      </rPr>
      <t>: Triệu đồng -</t>
    </r>
    <r>
      <rPr>
        <i/>
        <sz val="10"/>
        <rFont val="Arial"/>
        <family val="2"/>
      </rPr>
      <t xml:space="preserve"> Mill. dongs </t>
    </r>
  </si>
  <si>
    <t xml:space="preserve">                                                                         </t>
  </si>
  <si>
    <r>
      <t>Tổng số</t>
    </r>
    <r>
      <rPr>
        <i/>
        <sz val="10"/>
        <rFont val="Arial"/>
        <family val="2"/>
      </rPr>
      <t xml:space="preserve"> - Total</t>
    </r>
  </si>
  <si>
    <t>1.Thành phố Ninh Bình</t>
  </si>
  <si>
    <t>2.Thành phố Tam Điệp</t>
  </si>
  <si>
    <t>3. Huyện Nho Quan</t>
  </si>
  <si>
    <t>4. Huyện Gia Viễn</t>
  </si>
  <si>
    <t>5. Huyện Hoa Lư</t>
  </si>
  <si>
    <t>6. Huyện Yên Khánh</t>
  </si>
  <si>
    <t>7. Huyện Kim Sơn</t>
  </si>
  <si>
    <t>8. Huyện Yên Mô</t>
  </si>
  <si>
    <r>
      <t>384</t>
    </r>
    <r>
      <rPr>
        <sz val="13"/>
        <rFont val="Arial"/>
        <family val="2"/>
      </rPr>
      <t xml:space="preserve"> </t>
    </r>
    <r>
      <rPr>
        <b/>
        <sz val="12"/>
        <rFont val="Arial"/>
        <family val="2"/>
      </rPr>
      <t xml:space="preserve">Thương mại, Giá cả và Du lịch - </t>
    </r>
    <r>
      <rPr>
        <i/>
        <sz val="12"/>
        <rFont val="Arial"/>
        <family val="2"/>
      </rPr>
      <t xml:space="preserve">Trade, Price and Tourism </t>
    </r>
  </si>
  <si>
    <r>
      <t>Phân theo loại hình kinh tế</t>
    </r>
    <r>
      <rPr>
        <i/>
        <sz val="9"/>
        <rFont val="Arial"/>
        <family val="2"/>
      </rPr>
      <t xml:space="preserve">
 By types of ownership</t>
    </r>
  </si>
  <si>
    <t xml:space="preserve">Khu vực có vốn đầu tư nước ngoài </t>
  </si>
  <si>
    <t>Foreign invested sector</t>
  </si>
  <si>
    <r>
      <rPr>
        <b/>
        <sz val="9"/>
        <rFont val="Arial"/>
        <family val="2"/>
      </rPr>
      <t>Phân theo nhóm hàng -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By commodity group</t>
    </r>
  </si>
  <si>
    <r>
      <t xml:space="preserve">Lương thực, thực phẩm - </t>
    </r>
    <r>
      <rPr>
        <i/>
        <sz val="9"/>
        <rFont val="Arial"/>
        <family val="2"/>
      </rPr>
      <t>Food and foodstuff</t>
    </r>
  </si>
  <si>
    <r>
      <t xml:space="preserve">Hàng may mặc - </t>
    </r>
    <r>
      <rPr>
        <i/>
        <sz val="9"/>
        <rFont val="Arial"/>
        <family val="2"/>
      </rPr>
      <t>Garment</t>
    </r>
  </si>
  <si>
    <r>
      <t xml:space="preserve">Đồ dùng, dụng cụ trang thiết bị gia đình
</t>
    </r>
    <r>
      <rPr>
        <i/>
        <sz val="9"/>
        <rFont val="Arial"/>
        <family val="2"/>
      </rPr>
      <t>Household equipment and goods</t>
    </r>
  </si>
  <si>
    <r>
      <t xml:space="preserve">Vật phẩm, văn hóa, giáo dục
</t>
    </r>
    <r>
      <rPr>
        <i/>
        <sz val="9"/>
        <rFont val="Arial"/>
        <family val="2"/>
      </rPr>
      <t>Cultural and educational goods</t>
    </r>
  </si>
  <si>
    <r>
      <t xml:space="preserve">Gỗ và vật liệu xây dựng
</t>
    </r>
    <r>
      <rPr>
        <i/>
        <sz val="9"/>
        <rFont val="Arial"/>
        <family val="2"/>
      </rPr>
      <t>Wood and construction materials</t>
    </r>
  </si>
  <si>
    <r>
      <t xml:space="preserve">Phương tiện đi lại
</t>
    </r>
    <r>
      <rPr>
        <i/>
        <sz val="9"/>
        <rFont val="Arial"/>
        <family val="2"/>
      </rPr>
      <t>Means of transport</t>
    </r>
  </si>
  <si>
    <r>
      <t xml:space="preserve">Xăng dầu các loại và nhiên liệu khác 
</t>
    </r>
    <r>
      <rPr>
        <i/>
        <sz val="9"/>
        <rFont val="Arial"/>
        <family val="2"/>
      </rPr>
      <t xml:space="preserve">Metroleum oil, refined and fuels material </t>
    </r>
  </si>
  <si>
    <r>
      <t xml:space="preserve">Hàng hóa khác - </t>
    </r>
    <r>
      <rPr>
        <i/>
        <sz val="9"/>
        <rFont val="Arial"/>
        <family val="2"/>
      </rPr>
      <t>Other goods</t>
    </r>
  </si>
  <si>
    <r>
      <rPr>
        <b/>
        <sz val="12"/>
        <rFont val="Arial"/>
        <family val="2"/>
      </rPr>
      <t xml:space="preserve">Thương mại, Giá cả và Du lịch - </t>
    </r>
    <r>
      <rPr>
        <i/>
        <sz val="12"/>
        <rFont val="Arial"/>
        <family val="2"/>
      </rPr>
      <t xml:space="preserve">Trade, Price and Tourism </t>
    </r>
    <r>
      <rPr>
        <b/>
        <sz val="16"/>
        <rFont val="Arial"/>
        <family val="2"/>
      </rPr>
      <t xml:space="preserve">385 </t>
    </r>
  </si>
  <si>
    <r>
      <t>Phân theo loại hình kinh tế</t>
    </r>
    <r>
      <rPr>
        <b/>
        <i/>
        <sz val="10"/>
        <rFont val="Arial"/>
        <family val="2"/>
      </rPr>
      <t xml:space="preserve"> 
</t>
    </r>
    <r>
      <rPr>
        <i/>
        <sz val="10"/>
        <rFont val="Arial"/>
        <family val="2"/>
      </rPr>
      <t xml:space="preserve"> By types of ownership</t>
    </r>
  </si>
  <si>
    <r>
      <rPr>
        <b/>
        <sz val="9"/>
        <rFont val="Arial"/>
        <family val="2"/>
      </rPr>
      <t xml:space="preserve">Phân theo nhóm hàng </t>
    </r>
    <r>
      <rPr>
        <sz val="9"/>
        <rFont val="Arial"/>
        <family val="2"/>
      </rPr>
      <t xml:space="preserve">- </t>
    </r>
    <r>
      <rPr>
        <i/>
        <sz val="10"/>
        <rFont val="Arial"/>
        <family val="2"/>
      </rPr>
      <t>By commodity group</t>
    </r>
  </si>
  <si>
    <r>
      <t xml:space="preserve">Lương thực, thực phẩm - </t>
    </r>
    <r>
      <rPr>
        <i/>
        <sz val="10"/>
        <rFont val="Arial"/>
        <family val="2"/>
      </rPr>
      <t>Food and foodstuff</t>
    </r>
  </si>
  <si>
    <r>
      <t xml:space="preserve">Hàng may mặc - </t>
    </r>
    <r>
      <rPr>
        <i/>
        <sz val="10"/>
        <rFont val="Arial"/>
        <family val="2"/>
      </rPr>
      <t>Garment</t>
    </r>
  </si>
  <si>
    <r>
      <t>386</t>
    </r>
    <r>
      <rPr>
        <sz val="13"/>
        <rFont val="Arial"/>
        <family val="2"/>
      </rPr>
      <t xml:space="preserve"> </t>
    </r>
    <r>
      <rPr>
        <b/>
        <sz val="12"/>
        <rFont val="Arial"/>
        <family val="2"/>
      </rPr>
      <t xml:space="preserve">Thương mại, Giá cả và Du lịch - </t>
    </r>
    <r>
      <rPr>
        <i/>
        <sz val="12"/>
        <rFont val="Arial"/>
        <family val="2"/>
      </rPr>
      <t xml:space="preserve">Trade, Price and Tourism </t>
    </r>
  </si>
  <si>
    <t>ĐVT</t>
  </si>
  <si>
    <t>Unit</t>
  </si>
  <si>
    <t xml:space="preserve">Số cơ sở lưu trú - </t>
  </si>
  <si>
    <t>Cơ sở</t>
  </si>
  <si>
    <t>Number of accommodation estab.</t>
  </si>
  <si>
    <t>Trong đó: Of which:</t>
  </si>
  <si>
    <r>
      <t xml:space="preserve">   Khách sạn - </t>
    </r>
    <r>
      <rPr>
        <i/>
        <sz val="10"/>
        <rFont val="Arial"/>
        <family val="2"/>
      </rPr>
      <t>Hotel</t>
    </r>
  </si>
  <si>
    <t>"</t>
  </si>
  <si>
    <r>
      <t xml:space="preserve">   Nhà nghỉ - </t>
    </r>
    <r>
      <rPr>
        <i/>
        <sz val="10"/>
        <rFont val="Arial"/>
        <family val="2"/>
      </rPr>
      <t>Rented house</t>
    </r>
  </si>
  <si>
    <t xml:space="preserve">Số phòng nghỉ - </t>
  </si>
  <si>
    <t>Phòng</t>
  </si>
  <si>
    <t>Number of rooms</t>
  </si>
  <si>
    <t>Room</t>
  </si>
  <si>
    <t>Số giường-</t>
  </si>
  <si>
    <t>Number of beds</t>
  </si>
  <si>
    <t>Thous. beds</t>
  </si>
  <si>
    <t>Number of visitors</t>
  </si>
  <si>
    <t>Thous. pers</t>
  </si>
  <si>
    <r>
      <t xml:space="preserve">   Khách trong nước-</t>
    </r>
    <r>
      <rPr>
        <i/>
        <sz val="10"/>
        <rFont val="Arial"/>
        <family val="2"/>
      </rPr>
      <t>Domestic visitors</t>
    </r>
  </si>
  <si>
    <r>
      <t xml:space="preserve">   Khách quốc tế - </t>
    </r>
    <r>
      <rPr>
        <i/>
        <sz val="10"/>
        <rFont val="Arial"/>
        <family val="2"/>
      </rPr>
      <t xml:space="preserve">Foreign visitors </t>
    </r>
  </si>
  <si>
    <t>Số khách do cơ sở lưu trú phục vụ</t>
  </si>
  <si>
    <t xml:space="preserve">Number of visitors serviced by </t>
  </si>
  <si>
    <t>accommodation establishment</t>
  </si>
  <si>
    <t>Số ngày khách lưu trú</t>
  </si>
  <si>
    <t>Ngày khách</t>
  </si>
  <si>
    <t>Duration of stay of visitors</t>
  </si>
  <si>
    <t xml:space="preserve"> Per.Day</t>
  </si>
  <si>
    <t xml:space="preserve">Sè kh¸ch do c¸c c¬ së </t>
  </si>
  <si>
    <t>1000ng­êi</t>
  </si>
  <si>
    <t>l÷ hµnh phôc vô</t>
  </si>
  <si>
    <t>Thous</t>
  </si>
  <si>
    <t>travel agencies</t>
  </si>
  <si>
    <r>
      <t xml:space="preserve">   Kh¸ch trong n­íc-</t>
    </r>
    <r>
      <rPr>
        <i/>
        <sz val="10"/>
        <color indexed="10"/>
        <rFont val="Arial"/>
        <family val="2"/>
      </rPr>
      <t>Domestic visitors</t>
    </r>
  </si>
  <si>
    <r>
      <t xml:space="preserve">   Kh¸ch quèc tÕ - </t>
    </r>
    <r>
      <rPr>
        <i/>
        <sz val="10"/>
        <color indexed="10"/>
        <rFont val="Arial"/>
        <family val="2"/>
      </rPr>
      <t xml:space="preserve">Foreign visitors </t>
    </r>
  </si>
  <si>
    <t>Chi tiêu cuả khách DL trong nước</t>
  </si>
  <si>
    <t>Tr.đồng</t>
  </si>
  <si>
    <t>Expenditure of domestic visitors</t>
  </si>
  <si>
    <t>Mill.VND</t>
  </si>
  <si>
    <t xml:space="preserve">   Bình quân một lượt khách</t>
  </si>
  <si>
    <t xml:space="preserve">   Average visitor expenditure</t>
  </si>
  <si>
    <t xml:space="preserve">   Bình quân một ngày khách</t>
  </si>
  <si>
    <t xml:space="preserve">   Average expenditure per day.visitor</t>
  </si>
  <si>
    <t>Chi tiêu của khách DL nước ngoài</t>
  </si>
  <si>
    <t>Expenditure of foreign visitors</t>
  </si>
  <si>
    <t>Hệ số sử dụng giường</t>
  </si>
  <si>
    <t>%</t>
  </si>
  <si>
    <t>Bed occupancy rates</t>
  </si>
  <si>
    <t>Tỷ lệ sử dụng phòng nghỉ</t>
  </si>
  <si>
    <t>Room occupancy rates</t>
  </si>
  <si>
    <t xml:space="preserve">   Khách sạn - Hotel</t>
  </si>
  <si>
    <t xml:space="preserve">   Nhà nghỉ - Rented house</t>
  </si>
  <si>
    <r>
      <rPr>
        <sz val="13"/>
        <rFont val="Arial"/>
        <family val="2"/>
      </rPr>
      <t xml:space="preserve"> </t>
    </r>
    <r>
      <rPr>
        <b/>
        <sz val="12"/>
        <rFont val="Arial"/>
        <family val="2"/>
      </rPr>
      <t xml:space="preserve">Thương mại, Giá cả và Du lịch - </t>
    </r>
    <r>
      <rPr>
        <i/>
        <sz val="12"/>
        <rFont val="Arial"/>
        <family val="2"/>
      </rPr>
      <t xml:space="preserve">Trade, Price and Tourism </t>
    </r>
    <r>
      <rPr>
        <b/>
        <sz val="16"/>
        <rFont val="Arial"/>
        <family val="2"/>
      </rPr>
      <t xml:space="preserve">401 </t>
    </r>
  </si>
  <si>
    <r>
      <t>Cơ sở (Cơ sở) -</t>
    </r>
    <r>
      <rPr>
        <i/>
        <sz val="10"/>
        <rFont val="Arial"/>
        <family val="2"/>
      </rPr>
      <t xml:space="preserve"> Number of establishments (Est.)</t>
    </r>
  </si>
  <si>
    <t xml:space="preserve">        </t>
  </si>
  <si>
    <r>
      <t>Khách sạn 5 sao -</t>
    </r>
    <r>
      <rPr>
        <i/>
        <sz val="10"/>
        <rFont val="Arial"/>
        <family val="2"/>
      </rPr>
      <t xml:space="preserve"> 5-Star hotels</t>
    </r>
  </si>
  <si>
    <r>
      <t xml:space="preserve">Khách sạn 4 sao - </t>
    </r>
    <r>
      <rPr>
        <i/>
        <sz val="10"/>
        <rFont val="Arial"/>
        <family val="2"/>
      </rPr>
      <t>4-Star hotels</t>
    </r>
  </si>
  <si>
    <r>
      <t xml:space="preserve">Khách sạn khác - </t>
    </r>
    <r>
      <rPr>
        <i/>
        <sz val="10"/>
        <rFont val="Arial"/>
        <family val="2"/>
      </rPr>
      <t>Other hotels</t>
    </r>
  </si>
  <si>
    <r>
      <t xml:space="preserve">Nhà nghỉ, nhà khách - </t>
    </r>
    <r>
      <rPr>
        <i/>
        <sz val="10"/>
        <rFont val="Arial"/>
        <family val="2"/>
      </rPr>
      <t>Guest houses</t>
    </r>
  </si>
  <si>
    <r>
      <t>Cơ sở lưu trú khác -</t>
    </r>
    <r>
      <rPr>
        <i/>
        <sz val="10"/>
        <rFont val="Arial"/>
        <family val="2"/>
      </rPr>
      <t xml:space="preserve"> Others</t>
    </r>
  </si>
  <si>
    <r>
      <t xml:space="preserve">Số phòng (Phòng) - </t>
    </r>
    <r>
      <rPr>
        <i/>
        <sz val="10"/>
        <rFont val="Arial"/>
        <family val="2"/>
      </rPr>
      <t>Number of rooms (Room)</t>
    </r>
  </si>
  <si>
    <r>
      <t xml:space="preserve">Số giường (Giường) - </t>
    </r>
    <r>
      <rPr>
        <i/>
        <sz val="10"/>
        <rFont val="Arial"/>
        <family val="2"/>
      </rPr>
      <t>Number of beds (Bed)</t>
    </r>
  </si>
  <si>
    <r>
      <rPr>
        <sz val="13"/>
        <rFont val="Arial"/>
        <family val="2"/>
      </rPr>
      <t xml:space="preserve"> </t>
    </r>
    <r>
      <rPr>
        <b/>
        <sz val="12"/>
        <rFont val="Arial"/>
        <family val="2"/>
      </rPr>
      <t xml:space="preserve">Thương mại, Giá cả và Du lịch - </t>
    </r>
    <r>
      <rPr>
        <i/>
        <sz val="12"/>
        <rFont val="Arial"/>
        <family val="2"/>
      </rPr>
      <t xml:space="preserve">Trade, Price and Tourism </t>
    </r>
    <r>
      <rPr>
        <b/>
        <sz val="16"/>
        <rFont val="Arial"/>
        <family val="2"/>
      </rPr>
      <t xml:space="preserve">403 </t>
    </r>
  </si>
  <si>
    <r>
      <rPr>
        <b/>
        <sz val="10"/>
        <rFont val="Arial"/>
        <family val="2"/>
      </rPr>
      <t xml:space="preserve">Tổng số </t>
    </r>
    <r>
      <rPr>
        <i/>
        <sz val="10"/>
        <rFont val="Arial"/>
        <family val="2"/>
      </rPr>
      <t>Total</t>
    </r>
  </si>
  <si>
    <r>
      <rPr>
        <b/>
        <sz val="10"/>
        <rFont val="Arial"/>
        <family val="2"/>
      </rPr>
      <t>Chia ra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Of which</t>
    </r>
  </si>
  <si>
    <r>
      <t xml:space="preserve">Nhà nước 
</t>
    </r>
    <r>
      <rPr>
        <i/>
        <sz val="10"/>
        <rFont val="Arial"/>
        <family val="2"/>
      </rPr>
      <t>State</t>
    </r>
  </si>
  <si>
    <r>
      <t xml:space="preserve">Ngoài 
nhà nước
</t>
    </r>
    <r>
      <rPr>
        <i/>
        <sz val="10"/>
        <rFont val="Arial"/>
        <family val="2"/>
      </rPr>
      <t>Non-state</t>
    </r>
  </si>
  <si>
    <r>
      <t xml:space="preserve">Khu vực có vốn
đầu tư nước ngoài
</t>
    </r>
    <r>
      <rPr>
        <i/>
        <sz val="10"/>
        <rFont val="Arial"/>
        <family val="2"/>
      </rPr>
      <t xml:space="preserve">Foreign
investment </t>
    </r>
  </si>
  <si>
    <r>
      <t>Cơ sở (Cơ sở) -</t>
    </r>
    <r>
      <rPr>
        <i/>
        <sz val="10"/>
        <rFont val="Arial"/>
        <family val="2"/>
      </rPr>
      <t xml:space="preserve"> 
Number of establishments (Est.)</t>
    </r>
  </si>
  <si>
    <r>
      <t xml:space="preserve">Số buồng (Buồng)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Number of rooms (Room)</t>
    </r>
  </si>
  <si>
    <r>
      <t>Số giường (Giường) -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Number of beds (Bed)</t>
    </r>
  </si>
  <si>
    <r>
      <t>404</t>
    </r>
    <r>
      <rPr>
        <sz val="13"/>
        <rFont val="Arial"/>
        <family val="2"/>
      </rPr>
      <t xml:space="preserve"> </t>
    </r>
    <r>
      <rPr>
        <b/>
        <sz val="12"/>
        <rFont val="Arial"/>
        <family val="2"/>
      </rPr>
      <t xml:space="preserve">Thương mại, Giá cả và Du lịch- </t>
    </r>
    <r>
      <rPr>
        <i/>
        <sz val="12"/>
        <rFont val="Arial"/>
        <family val="2"/>
      </rPr>
      <t>Trade, Price and Tourism</t>
    </r>
    <r>
      <rPr>
        <b/>
        <sz val="16"/>
        <rFont val="Arial"/>
        <family val="2"/>
      </rPr>
      <t xml:space="preserve"> </t>
    </r>
  </si>
  <si>
    <t xml:space="preserve"> Retail sales of goods and services at current prices by ownership and by kinds of economic activity</t>
  </si>
  <si>
    <t xml:space="preserve">   Retail sales of goods and services at current prices by district</t>
  </si>
  <si>
    <t xml:space="preserve">  Retail sales of goods at current prices by types of ownership</t>
  </si>
  <si>
    <t xml:space="preserve">  and by commodity group</t>
  </si>
  <si>
    <t xml:space="preserve">  (Cont.) Retail sales of goods at current prices by types of ownership</t>
  </si>
  <si>
    <t xml:space="preserve">Doanh thu hoạt động du lịch </t>
  </si>
  <si>
    <t xml:space="preserve">  Tourism</t>
  </si>
  <si>
    <t>Existing capacity of accommodation establishment</t>
  </si>
  <si>
    <t>Retail sales of goods and services at current prices by district</t>
  </si>
  <si>
    <t>Hoạt động du lịch trên địa bàn</t>
  </si>
  <si>
    <t>Tourism</t>
  </si>
  <si>
    <t>Năng lực hiện có của các cơ sở lưu trú</t>
  </si>
  <si>
    <t>Chi tiêu bình quân của khách du lịch</t>
  </si>
  <si>
    <t>Expenditure of visitors</t>
  </si>
  <si>
    <t>Average expenditure of visitors</t>
  </si>
  <si>
    <r>
      <t>ĐVT-</t>
    </r>
    <r>
      <rPr>
        <i/>
        <sz val="10"/>
        <rFont val="Arial"/>
        <family val="2"/>
      </rPr>
      <t>Unit:</t>
    </r>
    <r>
      <rPr>
        <sz val="10"/>
        <rFont val="Arial"/>
        <family val="2"/>
      </rPr>
      <t xml:space="preserve"> Nghìn đô la Mỹ </t>
    </r>
    <r>
      <rPr>
        <i/>
        <sz val="10"/>
        <rFont val="Arial"/>
        <family val="2"/>
      </rPr>
      <t xml:space="preserve">-Thous.USD </t>
    </r>
  </si>
  <si>
    <r>
      <t xml:space="preserve">Tổng trị giá - </t>
    </r>
    <r>
      <rPr>
        <i/>
        <sz val="10"/>
        <rFont val="Arial"/>
        <family val="2"/>
      </rPr>
      <t>Total</t>
    </r>
  </si>
  <si>
    <t>Trong đó: Xuất khẩu địa phương</t>
  </si>
  <si>
    <t xml:space="preserve">Of which: Local export </t>
  </si>
  <si>
    <t>Phân theo hình thức xuất khẩu</t>
  </si>
  <si>
    <t>By export form</t>
  </si>
  <si>
    <r>
      <t xml:space="preserve">   Trực tiếp -</t>
    </r>
    <r>
      <rPr>
        <i/>
        <sz val="10"/>
        <rFont val="Arial"/>
        <family val="2"/>
      </rPr>
      <t xml:space="preserve"> Direct</t>
    </r>
  </si>
  <si>
    <r>
      <t xml:space="preserve">   </t>
    </r>
    <r>
      <rPr>
        <sz val="10"/>
        <rFont val="Arial"/>
        <family val="2"/>
      </rPr>
      <t>Uỷ thác -</t>
    </r>
    <r>
      <rPr>
        <i/>
        <sz val="10"/>
        <rFont val="Arial"/>
        <family val="2"/>
      </rPr>
      <t xml:space="preserve"> Mandatary</t>
    </r>
  </si>
  <si>
    <t xml:space="preserve">Phân theo nhóm hàng </t>
  </si>
  <si>
    <t>By group of goods</t>
  </si>
  <si>
    <t xml:space="preserve">  Hàng công nghiệp nặng và khoáng sản</t>
  </si>
  <si>
    <t xml:space="preserve">   Mineral and heavy industrial products</t>
  </si>
  <si>
    <t xml:space="preserve">   Hàng CN nhẹ và tiểu thủ công nghiệp</t>
  </si>
  <si>
    <t xml:space="preserve"> Handicrafts and light industrial produtcs</t>
  </si>
  <si>
    <r>
      <t xml:space="preserve">   Hàng nông sản - </t>
    </r>
    <r>
      <rPr>
        <i/>
        <sz val="10"/>
        <rFont val="Arial"/>
        <family val="2"/>
      </rPr>
      <t>Agriculture products</t>
    </r>
  </si>
  <si>
    <r>
      <rPr>
        <sz val="10"/>
        <rFont val="Arial"/>
        <family val="2"/>
      </rPr>
      <t xml:space="preserve">   Hàng lâm sản-</t>
    </r>
    <r>
      <rPr>
        <i/>
        <sz val="10"/>
        <rFont val="Arial"/>
        <family val="2"/>
      </rPr>
      <t xml:space="preserve"> Forestry products</t>
    </r>
  </si>
  <si>
    <r>
      <t xml:space="preserve">   Hàng thuỷ sản-</t>
    </r>
    <r>
      <rPr>
        <i/>
        <sz val="10"/>
        <rFont val="Arial"/>
        <family val="2"/>
      </rPr>
      <t xml:space="preserve"> Fishery products</t>
    </r>
  </si>
  <si>
    <t>Index (Previous year = 100) %</t>
  </si>
  <si>
    <r>
      <t>Tổng số -</t>
    </r>
    <r>
      <rPr>
        <i/>
        <sz val="10"/>
        <rFont val="Arial"/>
        <family val="2"/>
      </rPr>
      <t xml:space="preserve"> Total</t>
    </r>
  </si>
  <si>
    <r>
      <rPr>
        <sz val="10"/>
        <rFont val="Arial"/>
        <family val="2"/>
      </rPr>
      <t xml:space="preserve">   Uỷ thác - </t>
    </r>
    <r>
      <rPr>
        <i/>
        <sz val="10"/>
        <rFont val="Arial"/>
        <family val="2"/>
      </rPr>
      <t>Mandatary</t>
    </r>
  </si>
  <si>
    <t xml:space="preserve">   Hàng công nghiệp nặng và khoáng sản</t>
  </si>
  <si>
    <t xml:space="preserve">  Handicrafts and light industrial produtcs</t>
  </si>
  <si>
    <r>
      <t xml:space="preserve">   Hàng nông sản -</t>
    </r>
    <r>
      <rPr>
        <i/>
        <sz val="10"/>
        <rFont val="Arial"/>
        <family val="2"/>
      </rPr>
      <t xml:space="preserve"> Agriculture products</t>
    </r>
  </si>
  <si>
    <r>
      <rPr>
        <sz val="10"/>
        <rFont val="Arial"/>
        <family val="2"/>
      </rPr>
      <t xml:space="preserve">   Hàng lâm sản- </t>
    </r>
    <r>
      <rPr>
        <i/>
        <sz val="10"/>
        <rFont val="Arial"/>
        <family val="2"/>
      </rPr>
      <t>Forestry products</t>
    </r>
  </si>
  <si>
    <r>
      <t xml:space="preserve">   Hàng thuỷ sản- </t>
    </r>
    <r>
      <rPr>
        <i/>
        <sz val="10"/>
        <rFont val="Arial"/>
        <family val="2"/>
      </rPr>
      <t>Fishery products</t>
    </r>
  </si>
  <si>
    <r>
      <rPr>
        <b/>
        <sz val="12"/>
        <rFont val="Arial"/>
        <family val="2"/>
      </rPr>
      <t xml:space="preserve"> Thương mại, Giá cả và Du lịch - </t>
    </r>
    <r>
      <rPr>
        <i/>
        <sz val="12"/>
        <rFont val="Arial"/>
        <family val="2"/>
      </rPr>
      <t xml:space="preserve">Trade, Price and Tourism  </t>
    </r>
    <r>
      <rPr>
        <b/>
        <sz val="16"/>
        <rFont val="Arial"/>
        <family val="2"/>
      </rPr>
      <t xml:space="preserve">387  </t>
    </r>
  </si>
  <si>
    <r>
      <t xml:space="preserve">Tổng trị giá </t>
    </r>
    <r>
      <rPr>
        <i/>
        <sz val="10"/>
        <rFont val="Arial "/>
      </rPr>
      <t>- Total</t>
    </r>
  </si>
  <si>
    <t>Trong đó: Nhập khẩu địa phương</t>
  </si>
  <si>
    <t>Of which: Local import</t>
  </si>
  <si>
    <t>By import form</t>
  </si>
  <si>
    <r>
      <t xml:space="preserve">   Trực tiếp -</t>
    </r>
    <r>
      <rPr>
        <i/>
        <sz val="10"/>
        <rFont val="Arial "/>
      </rPr>
      <t xml:space="preserve"> Direct</t>
    </r>
  </si>
  <si>
    <r>
      <rPr>
        <sz val="10"/>
        <rFont val="Arial "/>
      </rPr>
      <t xml:space="preserve">   Uỷ thác </t>
    </r>
    <r>
      <rPr>
        <i/>
        <sz val="10"/>
        <rFont val="Arial "/>
      </rPr>
      <t>- Mandatary</t>
    </r>
  </si>
  <si>
    <r>
      <t xml:space="preserve">  Tư liệu sản xuất - </t>
    </r>
    <r>
      <rPr>
        <i/>
        <sz val="10"/>
        <rFont val="Arial "/>
      </rPr>
      <t>Means of production</t>
    </r>
  </si>
  <si>
    <t xml:space="preserve">     Máy móc, thiết bị, dụng cụ, phụ tùng</t>
  </si>
  <si>
    <t xml:space="preserve">     Machinery, instrument, accessory</t>
  </si>
  <si>
    <t xml:space="preserve">     Nguyên, nhiên, vật liệu</t>
  </si>
  <si>
    <t xml:space="preserve">     Fuels, raw materials</t>
  </si>
  <si>
    <r>
      <t xml:space="preserve">  Hàng tiêu dùng - </t>
    </r>
    <r>
      <rPr>
        <i/>
        <sz val="10"/>
        <rFont val="Arial "/>
      </rPr>
      <t>Consumer goods</t>
    </r>
  </si>
  <si>
    <r>
      <t xml:space="preserve">     Lương thực -</t>
    </r>
    <r>
      <rPr>
        <i/>
        <sz val="10"/>
        <rFont val="Arial "/>
      </rPr>
      <t xml:space="preserve"> Food</t>
    </r>
  </si>
  <si>
    <r>
      <t xml:space="preserve">     Thực phẩm -</t>
    </r>
    <r>
      <rPr>
        <i/>
        <sz val="10"/>
        <rFont val="Arial "/>
      </rPr>
      <t xml:space="preserve"> Foodstuffs</t>
    </r>
  </si>
  <si>
    <r>
      <t xml:space="preserve">     Hàng y tế -</t>
    </r>
    <r>
      <rPr>
        <i/>
        <sz val="10"/>
        <rFont val="Arial "/>
      </rPr>
      <t xml:space="preserve"> Pharmaceutical and
     medical products</t>
    </r>
  </si>
  <si>
    <r>
      <t xml:space="preserve">     Hàng khác -</t>
    </r>
    <r>
      <rPr>
        <i/>
        <sz val="10"/>
        <rFont val="Arial "/>
      </rPr>
      <t xml:space="preserve"> Others</t>
    </r>
  </si>
  <si>
    <r>
      <t xml:space="preserve">Tổng trị giá - </t>
    </r>
    <r>
      <rPr>
        <i/>
        <sz val="10"/>
        <rFont val="Arial "/>
      </rPr>
      <t>Total</t>
    </r>
  </si>
  <si>
    <r>
      <t xml:space="preserve">Phân theo hình thức XK- </t>
    </r>
    <r>
      <rPr>
        <i/>
        <sz val="10"/>
        <rFont val="Arial "/>
      </rPr>
      <t>By import form</t>
    </r>
  </si>
  <si>
    <r>
      <t xml:space="preserve">  </t>
    </r>
    <r>
      <rPr>
        <sz val="10"/>
        <rFont val="Arial "/>
      </rPr>
      <t xml:space="preserve"> Uỷ thác - </t>
    </r>
    <r>
      <rPr>
        <i/>
        <sz val="10"/>
        <rFont val="Arial "/>
      </rPr>
      <t>Mandatary</t>
    </r>
  </si>
  <si>
    <r>
      <t>Phân theo nhóm hàng-</t>
    </r>
    <r>
      <rPr>
        <i/>
        <sz val="10"/>
        <rFont val="Arial "/>
      </rPr>
      <t>By group of goods</t>
    </r>
  </si>
  <si>
    <r>
      <t xml:space="preserve">     Lương thực - </t>
    </r>
    <r>
      <rPr>
        <i/>
        <sz val="10"/>
        <rFont val="Arial "/>
      </rPr>
      <t>Food</t>
    </r>
  </si>
  <si>
    <r>
      <t xml:space="preserve">     Hàng y tế </t>
    </r>
    <r>
      <rPr>
        <i/>
        <sz val="10"/>
        <rFont val="Arial "/>
      </rPr>
      <t>-Pharmaceutical and</t>
    </r>
    <r>
      <rPr>
        <sz val="10"/>
        <rFont val="Arial "/>
      </rPr>
      <t xml:space="preserve">
     </t>
    </r>
    <r>
      <rPr>
        <i/>
        <sz val="10"/>
        <rFont val="Arial "/>
      </rPr>
      <t xml:space="preserve"> medical products</t>
    </r>
  </si>
  <si>
    <r>
      <t xml:space="preserve">     Hàng khác - </t>
    </r>
    <r>
      <rPr>
        <i/>
        <sz val="10"/>
        <rFont val="Arial "/>
      </rPr>
      <t>Others</t>
    </r>
  </si>
  <si>
    <r>
      <rPr>
        <b/>
        <sz val="16"/>
        <rFont val="Arial"/>
        <family val="2"/>
      </rPr>
      <t>388</t>
    </r>
    <r>
      <rPr>
        <b/>
        <sz val="12"/>
        <rFont val="Arial"/>
        <family val="2"/>
      </rPr>
      <t xml:space="preserve"> Thương mại, Giá cả và Du lịch - </t>
    </r>
    <r>
      <rPr>
        <i/>
        <sz val="12"/>
        <rFont val="Arial"/>
        <family val="2"/>
      </rPr>
      <t>Trade, Price and Tourism</t>
    </r>
    <r>
      <rPr>
        <i/>
        <sz val="13"/>
        <rFont val="Arial"/>
        <family val="2"/>
      </rPr>
      <t xml:space="preserve"> </t>
    </r>
  </si>
  <si>
    <t>ĐVT-Unit</t>
  </si>
  <si>
    <t xml:space="preserve"> - Thảm cói</t>
  </si>
  <si>
    <t xml:space="preserve"> Ng.m2</t>
  </si>
  <si>
    <t xml:space="preserve">   Sedge carpets </t>
  </si>
  <si>
    <t>Ng.m2</t>
  </si>
  <si>
    <t xml:space="preserve"> - Hàng thêu </t>
  </si>
  <si>
    <t>Ng.bộ</t>
  </si>
  <si>
    <t xml:space="preserve">   Embroideryproducts </t>
  </si>
  <si>
    <t xml:space="preserve"> - Lạc nhân </t>
  </si>
  <si>
    <t>Tấn</t>
  </si>
  <si>
    <t xml:space="preserve">   Shelled ground nut </t>
  </si>
  <si>
    <t>Tons</t>
  </si>
  <si>
    <t xml:space="preserve"> - Thịt đông lạnh </t>
  </si>
  <si>
    <t xml:space="preserve">   Processed meat </t>
  </si>
  <si>
    <t xml:space="preserve"> - Máy bơm tay VN6 </t>
  </si>
  <si>
    <t>Cái</t>
  </si>
  <si>
    <t xml:space="preserve">   Hydraunic pumps VN6</t>
  </si>
  <si>
    <t>pieces</t>
  </si>
  <si>
    <t xml:space="preserve"> - Sản phẩm cói, mây tre</t>
  </si>
  <si>
    <t>Ng.SP</t>
  </si>
  <si>
    <t xml:space="preserve">  Rattan and bamboo  products    </t>
  </si>
  <si>
    <t xml:space="preserve"> - Lá bương </t>
  </si>
  <si>
    <t xml:space="preserve">   Big - size bamboo </t>
  </si>
  <si>
    <t xml:space="preserve"> - Ván sàn tre </t>
  </si>
  <si>
    <t xml:space="preserve">   Bamboo floor </t>
  </si>
  <si>
    <t xml:space="preserve"> - Áo len dệt </t>
  </si>
  <si>
    <t>Ng.chiếc</t>
  </si>
  <si>
    <t xml:space="preserve"> - Gạo tẻ - Rice</t>
  </si>
  <si>
    <t xml:space="preserve"> Tấn-Tons</t>
  </si>
  <si>
    <t xml:space="preserve"> - Quần áo may sẵn </t>
  </si>
  <si>
    <t>Ng. cái</t>
  </si>
  <si>
    <t xml:space="preserve">   Ready madeclothes</t>
  </si>
  <si>
    <t xml:space="preserve"> - Quặng - Ore</t>
  </si>
  <si>
    <t xml:space="preserve"> - Hàng lúa rơm </t>
  </si>
  <si>
    <t xml:space="preserve"> - Nước dứa cô đặc </t>
  </si>
  <si>
    <t xml:space="preserve"> - Hàng tre nứa </t>
  </si>
  <si>
    <t xml:space="preserve"> - Mì ăn liền </t>
  </si>
  <si>
    <t>Ng. gói</t>
  </si>
  <si>
    <t xml:space="preserve"> - Đũa tre </t>
  </si>
  <si>
    <t xml:space="preserve"> - Cua biển </t>
  </si>
  <si>
    <t xml:space="preserve"> - Vỏ dứa </t>
  </si>
  <si>
    <t xml:space="preserve"> - Ớt</t>
  </si>
  <si>
    <t>Ng. tấn</t>
  </si>
  <si>
    <t>Ng. đôi</t>
  </si>
  <si>
    <t xml:space="preserve"> - Găng tay các loại</t>
  </si>
  <si>
    <t xml:space="preserve"> - Kính quang học</t>
  </si>
  <si>
    <t xml:space="preserve"> - Cần gạt nước</t>
  </si>
  <si>
    <t xml:space="preserve"> - Camera và LK điện thoại</t>
  </si>
  <si>
    <t xml:space="preserve"> </t>
  </si>
  <si>
    <r>
      <rPr>
        <sz val="13"/>
        <rFont val="Arial "/>
      </rPr>
      <t xml:space="preserve"> </t>
    </r>
    <r>
      <rPr>
        <b/>
        <sz val="13"/>
        <rFont val="Arial "/>
      </rPr>
      <t xml:space="preserve">Thương mại, Giá cả và Du lịch  - </t>
    </r>
    <r>
      <rPr>
        <i/>
        <sz val="13"/>
        <rFont val="Arial "/>
      </rPr>
      <t>Trade, Price and Tourism</t>
    </r>
    <r>
      <rPr>
        <b/>
        <sz val="16"/>
        <rFont val="Arial "/>
      </rPr>
      <t xml:space="preserve"> 389 </t>
    </r>
  </si>
  <si>
    <r>
      <t>ĐVT-</t>
    </r>
    <r>
      <rPr>
        <i/>
        <sz val="10"/>
        <rFont val="Arial"/>
        <family val="2"/>
      </rPr>
      <t>Unit</t>
    </r>
  </si>
  <si>
    <r>
      <t>Cái-</t>
    </r>
    <r>
      <rPr>
        <i/>
        <sz val="10"/>
        <rFont val="Arial"/>
        <family val="2"/>
      </rPr>
      <t>piece</t>
    </r>
  </si>
  <si>
    <t>-</t>
  </si>
  <si>
    <t xml:space="preserve"> 1000 m
Thous.m</t>
  </si>
  <si>
    <t>Ngh.USD
Th.USD</t>
  </si>
  <si>
    <t>Kg</t>
  </si>
  <si>
    <t xml:space="preserve"> - Thạch cao </t>
  </si>
  <si>
    <r>
      <t>Tấn-</t>
    </r>
    <r>
      <rPr>
        <i/>
        <sz val="10"/>
        <rFont val="Arial"/>
        <family val="2"/>
      </rPr>
      <t>Tons</t>
    </r>
  </si>
  <si>
    <t xml:space="preserve"> - Đá Ba-zan</t>
  </si>
  <si>
    <t xml:space="preserve"> - Maal beer</t>
  </si>
  <si>
    <t xml:space="preserve"> - Len </t>
  </si>
  <si>
    <t xml:space="preserve"> - Nhiệt kế </t>
  </si>
  <si>
    <t xml:space="preserve"> - Linh kiện xe máy</t>
  </si>
  <si>
    <t xml:space="preserve"> - Lốp ô tô </t>
  </si>
  <si>
    <t>Bộ</t>
  </si>
  <si>
    <t xml:space="preserve"> - Phụ liệu may </t>
  </si>
  <si>
    <t xml:space="preserve"> - Bông xơ </t>
  </si>
  <si>
    <t xml:space="preserve"> - Thóc giống </t>
  </si>
  <si>
    <t xml:space="preserve"> - Phôi thép </t>
  </si>
  <si>
    <t xml:space="preserve"> - Linh kiện điện tử</t>
  </si>
  <si>
    <t>Ngh.USD</t>
  </si>
  <si>
    <t xml:space="preserve"> - Phụ liệu sản xuất giầy dép</t>
  </si>
  <si>
    <r>
      <rPr>
        <b/>
        <sz val="16"/>
        <rFont val="Arial"/>
        <family val="2"/>
      </rPr>
      <t xml:space="preserve">390 </t>
    </r>
    <r>
      <rPr>
        <b/>
        <sz val="12"/>
        <rFont val="Arial"/>
        <family val="2"/>
      </rPr>
      <t xml:space="preserve">Thương mại, Giá cả và Du lịch - </t>
    </r>
    <r>
      <rPr>
        <i/>
        <sz val="12"/>
        <rFont val="Arial"/>
        <family val="2"/>
      </rPr>
      <t>Trade, Price and Tourism</t>
    </r>
    <r>
      <rPr>
        <i/>
        <sz val="13"/>
        <rFont val="Arial"/>
        <family val="2"/>
      </rPr>
      <t xml:space="preserve"> </t>
    </r>
  </si>
  <si>
    <t>Trị giá hàng hoá xuất khẩu trên địa bàn</t>
  </si>
  <si>
    <t xml:space="preserve"> Exports of goods  </t>
  </si>
  <si>
    <t>Trị giá hàng hoá nhập khẩu trên địa bàn</t>
  </si>
  <si>
    <t xml:space="preserve"> Imports of goods </t>
  </si>
  <si>
    <t>Mặt hàng xuất khẩu chủ yếu</t>
  </si>
  <si>
    <t>Main goods for exportation</t>
  </si>
  <si>
    <t xml:space="preserve"> Mặt hàng nhập khẩu chủ yếu</t>
  </si>
  <si>
    <t xml:space="preserve"> Main goods for importation</t>
  </si>
  <si>
    <t xml:space="preserve">    Exports of goods  </t>
  </si>
  <si>
    <t xml:space="preserve">    Imports of goods </t>
  </si>
  <si>
    <t xml:space="preserve">   Main goods for exportation</t>
  </si>
  <si>
    <t xml:space="preserve">   Main goods for importation</t>
  </si>
  <si>
    <t>Accommodation, food and</t>
  </si>
  <si>
    <t>beverage service</t>
  </si>
  <si>
    <t>Dịch vụ khác</t>
  </si>
  <si>
    <t>Bán lẻ hàng hóa</t>
  </si>
  <si>
    <t>Tổng số</t>
  </si>
  <si>
    <t>Du lịch lữ hành</t>
  </si>
  <si>
    <r>
      <t xml:space="preserve">Sửa chữa ô tô,xe máy và xe có động cơ #
</t>
    </r>
    <r>
      <rPr>
        <i/>
        <sz val="9"/>
        <rFont val="Arial"/>
        <family val="2"/>
      </rPr>
      <t>Repairing of motor vehicles, motor cycles</t>
    </r>
  </si>
  <si>
    <t xml:space="preserve"> - Giày dép</t>
  </si>
  <si>
    <t xml:space="preserve"> - Đồ chơi trẻ em</t>
  </si>
  <si>
    <t>Nghìn SP</t>
  </si>
  <si>
    <t>phân theo loại hình kinh tế và theo ngành hoạt động</t>
  </si>
  <si>
    <t xml:space="preserve">Retail sales of goods and services at current prices by ownership and </t>
  </si>
  <si>
    <t>by kinds of economic activity</t>
  </si>
  <si>
    <t xml:space="preserve">Tổng mức bán lẻ hàng hóa và doanh thu dịch vụ tiêu dùng theo giá hiện hành </t>
  </si>
  <si>
    <t>phân theo ngành kinh doanh</t>
  </si>
  <si>
    <t>Retail sales of goods and services at current prices by kinds</t>
  </si>
  <si>
    <t xml:space="preserve"> of economic activity</t>
  </si>
  <si>
    <t xml:space="preserve"> phân theo huyện, thành phố</t>
  </si>
  <si>
    <t>- Linh kiện và phụ tùng ô tô</t>
  </si>
  <si>
    <t>256. Trị giá hàng hoá xuất khẩu trên địa bàn</t>
  </si>
  <si>
    <t>257. Trị giá hàng hoá nhập khẩu trên địa bàn</t>
  </si>
  <si>
    <t>258. Mặt hàng xuất khẩu chủ yếu</t>
  </si>
  <si>
    <t>259. Mặt hàng nhập khẩu chủ yếu</t>
  </si>
  <si>
    <t xml:space="preserve">244. Tổng mức bán lẻ hàng hóa và doanh thu dịch vụ tiêu dùng </t>
  </si>
  <si>
    <t>247. Doanh thu dịch vụ lưu trú và ăn uống theo giá hiện hành</t>
  </si>
  <si>
    <t>248. Số lượng chợ phân theo hạng</t>
  </si>
  <si>
    <t>249. Số lượng siêu thị, trung tâm thương mại</t>
  </si>
  <si>
    <t>250. Hoạt động du lịch trên địa bàn</t>
  </si>
  <si>
    <t>254. Số lượt khách du lịch nội địa</t>
  </si>
  <si>
    <t>251 Năng lực hiện có của các cơ sở lưu trú</t>
  </si>
  <si>
    <t xml:space="preserve">    by types of ownership</t>
  </si>
  <si>
    <t xml:space="preserve">     phân theo loại hình kinh tế</t>
  </si>
  <si>
    <t>245. Tổng mức bán lẻ hàng hoá và doanh thu dịch vụ tiêu dùng theo giá hiện hành phân theo huyện, thành phố</t>
  </si>
  <si>
    <t>246. Tổng mức bán lẻ hàng hoá theo giá hiện hành  phân theo loại hình kinh tế
 và phân theo nhóm hàng</t>
  </si>
  <si>
    <t xml:space="preserve">    phân theo loại hình kinh tế và theo ngành kinh doanh</t>
  </si>
  <si>
    <t xml:space="preserve">Phân theo loại hình kinh tế </t>
  </si>
  <si>
    <t xml:space="preserve">253. Doanh thu du lịch theo giá hiện hành phân theo loại hình kinh tế </t>
  </si>
  <si>
    <r>
      <t xml:space="preserve">TỔNG SỐ - </t>
    </r>
    <r>
      <rPr>
        <b/>
        <i/>
        <sz val="9"/>
        <rFont val="Arial"/>
        <family val="2"/>
      </rPr>
      <t>Total</t>
    </r>
  </si>
  <si>
    <r>
      <t xml:space="preserve">TỔNG SỐ - </t>
    </r>
    <r>
      <rPr>
        <b/>
        <i/>
        <sz val="10"/>
        <rFont val="Arial"/>
        <family val="2"/>
      </rPr>
      <t>Total</t>
    </r>
  </si>
  <si>
    <t>1000 người</t>
  </si>
  <si>
    <r>
      <t xml:space="preserve">246. </t>
    </r>
    <r>
      <rPr>
        <i/>
        <sz val="12"/>
        <rFont val="Arial"/>
        <family val="2"/>
        <charset val="163"/>
      </rPr>
      <t>(Tiếp biểu)</t>
    </r>
    <r>
      <rPr>
        <b/>
        <sz val="12"/>
        <rFont val="Arial"/>
        <family val="2"/>
      </rPr>
      <t>Tổng mức bán lẻ hàng hoá theo giá hiện hành  
                        phân theo loại hình kinh tế và phân theo nhóm hàng</t>
    </r>
  </si>
  <si>
    <t xml:space="preserve">         phân theo loại hình kinh tế và theo quy mô</t>
  </si>
  <si>
    <r>
      <t xml:space="preserve"> - Ô tô -</t>
    </r>
    <r>
      <rPr>
        <i/>
        <sz val="10"/>
        <rFont val="Arial"/>
        <family val="2"/>
      </rPr>
      <t xml:space="preserve"> Motorcar</t>
    </r>
  </si>
  <si>
    <r>
      <t xml:space="preserve"> - Xe máy</t>
    </r>
    <r>
      <rPr>
        <i/>
        <sz val="10"/>
        <rFont val="Arial"/>
        <family val="2"/>
      </rPr>
      <t xml:space="preserve">-Motorcycles </t>
    </r>
  </si>
  <si>
    <r>
      <t xml:space="preserve"> - Vải</t>
    </r>
    <r>
      <rPr>
        <i/>
        <sz val="10"/>
        <rFont val="Arial"/>
        <family val="2"/>
      </rPr>
      <t xml:space="preserve">-Textile fabrics </t>
    </r>
  </si>
  <si>
    <r>
      <t xml:space="preserve"> - Chỉ thêu -</t>
    </r>
    <r>
      <rPr>
        <i/>
        <sz val="10"/>
        <rFont val="Arial"/>
        <family val="2"/>
      </rPr>
      <t xml:space="preserve"> Sewing silk </t>
    </r>
  </si>
  <si>
    <r>
      <t xml:space="preserve"> - Sắt thép phế liệu  -</t>
    </r>
    <r>
      <rPr>
        <i/>
        <sz val="10"/>
        <rFont val="Arial"/>
        <family val="2"/>
      </rPr>
      <t xml:space="preserve"> Steel </t>
    </r>
  </si>
  <si>
    <t xml:space="preserve">   Straw goods</t>
  </si>
  <si>
    <t>Thous.pcs</t>
  </si>
  <si>
    <t xml:space="preserve">  Pineapple condensed juice</t>
  </si>
  <si>
    <t xml:space="preserve"> Tấn</t>
  </si>
  <si>
    <t>Ton</t>
  </si>
  <si>
    <t xml:space="preserve">  Instant noodle</t>
  </si>
  <si>
    <t xml:space="preserve"> - Xi măng + clanke</t>
  </si>
  <si>
    <t xml:space="preserve">  Cement + Clanke</t>
  </si>
  <si>
    <t>Thous.tons</t>
  </si>
  <si>
    <t xml:space="preserve">  Carvas shoes</t>
  </si>
  <si>
    <t>Thous.pair</t>
  </si>
  <si>
    <t xml:space="preserve">  All kinds of glove</t>
  </si>
  <si>
    <t xml:space="preserve">   Optical glasses</t>
  </si>
  <si>
    <t xml:space="preserve">   Windshield cleaner</t>
  </si>
  <si>
    <t xml:space="preserve">   Camera &amp; electronic component</t>
  </si>
  <si>
    <t xml:space="preserve">   Children toy</t>
  </si>
  <si>
    <r>
      <t xml:space="preserve"> - Máy công trình - </t>
    </r>
    <r>
      <rPr>
        <i/>
        <sz val="10"/>
        <rFont val="Arial"/>
        <family val="2"/>
        <charset val="163"/>
      </rPr>
      <t>Machine</t>
    </r>
  </si>
  <si>
    <r>
      <t xml:space="preserve"> - Dứa+dưa - </t>
    </r>
    <r>
      <rPr>
        <i/>
        <sz val="10"/>
        <color indexed="8"/>
        <rFont val="Arial"/>
        <family val="2"/>
        <charset val="163"/>
      </rPr>
      <t>Pineapple</t>
    </r>
  </si>
  <si>
    <t xml:space="preserve">   Electronic component</t>
  </si>
  <si>
    <t xml:space="preserve">   Raw materials for shoes</t>
  </si>
  <si>
    <t xml:space="preserve">   Raw materials for garment</t>
  </si>
  <si>
    <r>
      <t xml:space="preserve"> - Máy móc thiết bị phụ tùng
</t>
    </r>
    <r>
      <rPr>
        <i/>
        <sz val="10"/>
        <rFont val="Arial"/>
        <family val="2"/>
        <charset val="163"/>
      </rPr>
      <t xml:space="preserve">  Equipment</t>
    </r>
  </si>
  <si>
    <t>Tổng mức bán lẻ hàng hoá và doanh thu dịch vụ tiêu dùng theo giá hiện hành</t>
  </si>
  <si>
    <t xml:space="preserve">Tổng mức bán lẻ hàng hoá theo giá hiện hành phân theo loại hình kinh tế </t>
  </si>
  <si>
    <t xml:space="preserve">Số lượng siêu thị, trung tâm thương mại phân theo loại hình kinh tế </t>
  </si>
  <si>
    <t xml:space="preserve">Doanh thu du lịch theo giá hiện hành phân theo loại hình kinh tế </t>
  </si>
  <si>
    <t>255. Chi tiêu bình quân của khách du lịch</t>
  </si>
  <si>
    <t>243. Tổng mức bán lẻ hàng hoá và doanh thu dịch vụ tiêu dùng theo giá hiện hành phân theo loại hình kinh tế và theo ngành hoạt động</t>
  </si>
  <si>
    <t>phân theo loại hình kinh tế và theo ngành kinh doanh</t>
  </si>
  <si>
    <t>252. Năng lực hiện có của các cơ sở lưu trú năm 2021</t>
  </si>
  <si>
    <t xml:space="preserve">    Existing capacity of accommodation establishment in 2021</t>
  </si>
  <si>
    <t>1000 giường</t>
  </si>
  <si>
    <t>Số khách đến</t>
  </si>
  <si>
    <t>Năng lực hiện có của các cơ sở lưu trú năm 2021 phân theo loại hình kinh tế</t>
  </si>
  <si>
    <t xml:space="preserve"> Existing capacity of accommodation establishment in 2021 by types of ownership</t>
  </si>
  <si>
    <r>
      <t>Triệu đồng -</t>
    </r>
    <r>
      <rPr>
        <b/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  <charset val="163"/>
      </rPr>
      <t>Mill. Dongs</t>
    </r>
  </si>
  <si>
    <r>
      <t xml:space="preserve">Triệu đồng - </t>
    </r>
    <r>
      <rPr>
        <sz val="9"/>
        <rFont val="Arial"/>
        <family val="2"/>
        <charset val="163"/>
      </rPr>
      <t>Mill. Dongs</t>
    </r>
  </si>
  <si>
    <r>
      <t xml:space="preserve">Cơ cấu - </t>
    </r>
    <r>
      <rPr>
        <sz val="9"/>
        <rFont val="Arial"/>
        <family val="2"/>
        <charset val="163"/>
      </rPr>
      <t>Structure (%)</t>
    </r>
  </si>
  <si>
    <r>
      <t xml:space="preserve">Cơ cấu </t>
    </r>
    <r>
      <rPr>
        <sz val="10"/>
        <rFont val="Arial"/>
        <family val="2"/>
        <charset val="163"/>
      </rPr>
      <t>- Structure (%)</t>
    </r>
  </si>
  <si>
    <t xml:space="preserve">Chỉ số phát triển (Năm trước= 100) -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</si>
</sst>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-* #,##0\ _₫_-;\-* #,##0\ _₫_-;_-* &quot;-&quot;\ _₫_-;_-@_-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* #,##0.00_);_(* \(#,##0.00\);_(* &quot;-&quot;??_);_(@_)"/>
    <numFmt numFmtId="169" formatCode="0.0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&quot;\&quot;#,##0;[Red]&quot;\&quot;\-#,##0"/>
    <numFmt numFmtId="173" formatCode="&quot;\&quot;#,##0.00;[Red]&quot;\&quot;\-#,##0.00"/>
    <numFmt numFmtId="174" formatCode="\$#,##0\ ;\(\$#,##0\)"/>
    <numFmt numFmtId="175" formatCode="&quot;\&quot;#,##0;[Red]&quot;\&quot;&quot;\&quot;\-#,##0"/>
    <numFmt numFmtId="176" formatCode="&quot;\&quot;#,##0.00;[Red]&quot;\&quot;&quot;\&quot;&quot;\&quot;&quot;\&quot;&quot;\&quot;&quot;\&quot;\-#,##0.00"/>
    <numFmt numFmtId="177" formatCode="_###,###,###"/>
    <numFmt numFmtId="178" formatCode="m/d"/>
    <numFmt numFmtId="179" formatCode="&quot;ß&quot;#,##0;\-&quot;&quot;\ß&quot;&quot;#,##0"/>
    <numFmt numFmtId="180" formatCode="\t0.00%"/>
    <numFmt numFmtId="181" formatCode="\t#\ ??/??"/>
    <numFmt numFmtId="182" formatCode="#,##0;\(#,##0\)"/>
    <numFmt numFmtId="183" formatCode="#,##0;[Red]#,##0"/>
    <numFmt numFmtId="184" formatCode="#,##0.0"/>
    <numFmt numFmtId="185" formatCode="#,##0.0;[Red]#,##0.0"/>
    <numFmt numFmtId="186" formatCode="_(* #,##0.0_);_(* \(#,##0.0\);_(* &quot;-&quot;_);_(@_)"/>
    <numFmt numFmtId="187" formatCode="0&quot;.&quot;000%"/>
    <numFmt numFmtId="188" formatCode="###,0&quot;.&quot;00\ &quot;F&quot;;[Red]\-###,0&quot;.&quot;00\ &quot;F&quot;"/>
    <numFmt numFmtId="189" formatCode="_-* #,##0.00\ _V_N_D_-;\-* #,##0.00\ _V_N_D_-;_-* &quot;-&quot;??\ _V_N_D_-;_-@_-"/>
    <numFmt numFmtId="190" formatCode="_-* #,##0\ _V_N_D_-;\-* #,##0\ _V_N_D_-;_-* &quot;-&quot;\ _V_N_D_-;_-@_-"/>
    <numFmt numFmtId="191" formatCode="&quot;SFr.&quot;\ #,##0.00;[Red]&quot;SFr.&quot;\ \-#,##0.00"/>
    <numFmt numFmtId="192" formatCode="_ &quot;SFr.&quot;\ * #,##0_ ;_ &quot;SFr.&quot;\ * \-#,##0_ ;_ &quot;SFr.&quot;\ * &quot;-&quot;_ ;_ @_ "/>
    <numFmt numFmtId="193" formatCode="_ * #,##0_ ;_ * \-#,##0_ ;_ * &quot;-&quot;_ ;_ @_ "/>
    <numFmt numFmtId="194" formatCode="_ * #,##0.00_ ;_ * \-#,##0.00_ ;_ * &quot;-&quot;??_ ;_ @_ "/>
    <numFmt numFmtId="195" formatCode="_-* #,##0.00\ &quot;F&quot;_-;\-* #,##0.00\ &quot;F&quot;_-;_-* &quot;-&quot;??\ &quot;F&quot;_-;_-@_-"/>
    <numFmt numFmtId="196" formatCode="_(* #,##0_);_(* \(#,##0\);_(* &quot;-&quot;??_);_(@_)"/>
    <numFmt numFmtId="197" formatCode="#,##0\ &quot;$&quot;_);[Red]\(#,##0\ &quot;$&quot;\)"/>
  </numFmts>
  <fonts count="122">
    <font>
      <sz val="10"/>
      <name val="Arial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sz val="10"/>
      <name val="Arial"/>
      <family val="2"/>
    </font>
    <font>
      <sz val="12"/>
      <name val=".VnTime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Arial"/>
      <family val="2"/>
      <charset val="163"/>
    </font>
    <font>
      <b/>
      <sz val="12"/>
      <name val="Arial"/>
      <family val="2"/>
      <charset val="163"/>
    </font>
    <font>
      <sz val="8"/>
      <color indexed="12"/>
      <name val="Helv"/>
    </font>
    <font>
      <sz val="12"/>
      <name val=".VnTime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name val="Arial"/>
      <family val="2"/>
      <charset val="163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0"/>
      <name val=".VnArial"/>
      <family val="2"/>
    </font>
    <font>
      <sz val="11"/>
      <name val=".VnArial Narrow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新細明體"/>
      <charset val="136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8"/>
      <name val="Arial"/>
      <family val="2"/>
      <charset val="163"/>
    </font>
    <font>
      <b/>
      <i/>
      <sz val="14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63"/>
    </font>
    <font>
      <i/>
      <sz val="12"/>
      <color indexed="8"/>
      <name val="Arial"/>
      <family val="2"/>
    </font>
    <font>
      <sz val="12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9.5"/>
      <name val="Arial"/>
      <family val="2"/>
    </font>
    <font>
      <b/>
      <i/>
      <sz val="9.5"/>
      <name val="Arial"/>
      <family val="2"/>
    </font>
    <font>
      <b/>
      <sz val="16"/>
      <color indexed="8"/>
      <name val="Arial"/>
      <family val="2"/>
    </font>
    <font>
      <sz val="10"/>
      <name val=".VnTime"/>
      <family val="2"/>
    </font>
    <font>
      <sz val="12"/>
      <name val=".VnArial"/>
      <family val="2"/>
    </font>
    <font>
      <b/>
      <sz val="10"/>
      <name val="Arial"/>
      <family val="2"/>
      <charset val="163"/>
    </font>
    <font>
      <b/>
      <sz val="10"/>
      <color indexed="8"/>
      <name val="Arial"/>
      <family val="2"/>
      <charset val="163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163"/>
    </font>
    <font>
      <i/>
      <sz val="12"/>
      <color rgb="FFFF0000"/>
      <name val="Arial"/>
      <family val="2"/>
    </font>
    <font>
      <sz val="10"/>
      <color rgb="FFFF0000"/>
      <name val="Arial"/>
      <family val="2"/>
      <charset val="163"/>
    </font>
    <font>
      <b/>
      <sz val="20"/>
      <name val="Arial"/>
      <family val="2"/>
    </font>
    <font>
      <b/>
      <i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163"/>
    </font>
    <font>
      <sz val="9"/>
      <name val="Arial"/>
      <family val="2"/>
      <charset val="163"/>
    </font>
    <font>
      <b/>
      <i/>
      <sz val="9"/>
      <name val="Arial"/>
      <family val="2"/>
    </font>
    <font>
      <sz val="10"/>
      <name val=".VnArial Narrow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sz val="12.5"/>
      <name val="Arial"/>
      <family val="2"/>
    </font>
    <font>
      <i/>
      <sz val="12.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VNI-Times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sz val="12"/>
      <name val="¹UAAA¼"/>
      <family val="3"/>
      <charset val="129"/>
    </font>
    <font>
      <sz val="12"/>
      <name val="¹ÙÅÁÃ¼"/>
      <charset val="129"/>
    </font>
    <font>
      <sz val="10"/>
      <name val="Times New Roman"/>
      <family val="1"/>
    </font>
    <font>
      <b/>
      <sz val="10"/>
      <name val="Helv"/>
    </font>
    <font>
      <b/>
      <sz val="12"/>
      <name val="VNTime"/>
      <family val="2"/>
    </font>
    <font>
      <b/>
      <sz val="12"/>
      <name val="VNTimeH"/>
      <family val="2"/>
    </font>
    <font>
      <sz val="12"/>
      <name val="VNTime"/>
      <family val="2"/>
    </font>
    <font>
      <b/>
      <sz val="12"/>
      <name val="Helv"/>
    </font>
    <font>
      <b/>
      <sz val="11"/>
      <name val="Helv"/>
    </font>
    <font>
      <sz val="11"/>
      <color theme="1"/>
      <name val="Arial"/>
      <family val="2"/>
      <scheme val="minor"/>
    </font>
    <font>
      <sz val="14"/>
      <name val=".Vn3DH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Courier"/>
      <family val="3"/>
    </font>
    <font>
      <i/>
      <sz val="10"/>
      <color indexed="10"/>
      <name val="Arial"/>
      <family val="2"/>
    </font>
    <font>
      <sz val="11"/>
      <name val="Arial"/>
      <family val="2"/>
    </font>
    <font>
      <b/>
      <sz val="13"/>
      <name val="Arial "/>
    </font>
    <font>
      <sz val="13"/>
      <name val="Arial "/>
    </font>
    <font>
      <i/>
      <sz val="13"/>
      <name val="Arial "/>
    </font>
    <font>
      <i/>
      <sz val="12"/>
      <name val="Arial "/>
    </font>
    <font>
      <sz val="10"/>
      <name val="Arial "/>
    </font>
    <font>
      <i/>
      <sz val="10"/>
      <name val="Arial "/>
    </font>
    <font>
      <b/>
      <sz val="10"/>
      <name val="Arial "/>
    </font>
    <font>
      <b/>
      <sz val="16"/>
      <name val="Arial "/>
    </font>
    <font>
      <sz val="10"/>
      <color indexed="8"/>
      <name val="Arial"/>
      <family val="2"/>
      <charset val="163"/>
    </font>
    <font>
      <i/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i/>
      <sz val="12"/>
      <name val="Arial"/>
      <family val="2"/>
      <charset val="163"/>
    </font>
    <font>
      <b/>
      <sz val="10"/>
      <name val="Arial "/>
      <charset val="163"/>
    </font>
    <font>
      <i/>
      <sz val="10"/>
      <color indexed="8"/>
      <name val="Arial"/>
      <family val="2"/>
      <charset val="163"/>
    </font>
    <font>
      <sz val="16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9"/>
      <name val="Arial "/>
    </font>
    <font>
      <sz val="9"/>
      <name val="Arial 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69">
    <xf numFmtId="0" fontId="0" fillId="0" borderId="0"/>
    <xf numFmtId="182" fontId="3" fillId="0" borderId="0"/>
    <xf numFmtId="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2" fillId="0" borderId="0"/>
    <xf numFmtId="0" fontId="4" fillId="0" borderId="0" applyFont="0" applyFill="0" applyBorder="0" applyAlignment="0" applyProtection="0"/>
    <xf numFmtId="181" fontId="2" fillId="0" borderId="0"/>
    <xf numFmtId="2" fontId="4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Protection="0"/>
    <xf numFmtId="0" fontId="10" fillId="0" borderId="0" applyProtection="0"/>
    <xf numFmtId="0" fontId="11" fillId="0" borderId="0"/>
    <xf numFmtId="10" fontId="6" fillId="3" borderId="3" applyNumberFormat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" fillId="0" borderId="0"/>
    <xf numFmtId="0" fontId="12" fillId="0" borderId="0">
      <alignment horizontal="left"/>
    </xf>
    <xf numFmtId="37" fontId="13" fillId="0" borderId="0"/>
    <xf numFmtId="0" fontId="14" fillId="0" borderId="0"/>
    <xf numFmtId="0" fontId="48" fillId="0" borderId="0"/>
    <xf numFmtId="0" fontId="40" fillId="0" borderId="0"/>
    <xf numFmtId="0" fontId="4" fillId="0" borderId="0" applyNumberFormat="0" applyFont="0" applyFill="0" applyBorder="0" applyAlignment="0" applyProtection="0"/>
    <xf numFmtId="0" fontId="54" fillId="0" borderId="0"/>
    <xf numFmtId="0" fontId="49" fillId="0" borderId="0"/>
    <xf numFmtId="0" fontId="15" fillId="0" borderId="0"/>
    <xf numFmtId="0" fontId="3" fillId="0" borderId="0"/>
    <xf numFmtId="0" fontId="4" fillId="4" borderId="0" applyNumberFormat="0"/>
    <xf numFmtId="0" fontId="2" fillId="0" borderId="0"/>
    <xf numFmtId="0" fontId="5" fillId="0" borderId="0"/>
    <xf numFmtId="0" fontId="4" fillId="0" borderId="0"/>
    <xf numFmtId="0" fontId="5" fillId="0" borderId="0"/>
    <xf numFmtId="10" fontId="4" fillId="0" borderId="0" applyFont="0" applyFill="0" applyBorder="0" applyAlignment="0" applyProtection="0"/>
    <xf numFmtId="177" fontId="2" fillId="0" borderId="0" applyFill="0" applyBorder="0" applyAlignment="0" applyProtection="0"/>
    <xf numFmtId="0" fontId="16" fillId="0" borderId="0"/>
    <xf numFmtId="0" fontId="17" fillId="0" borderId="0">
      <alignment horizontal="center"/>
    </xf>
    <xf numFmtId="0" fontId="18" fillId="0" borderId="4">
      <alignment horizontal="center" vertical="center"/>
    </xf>
    <xf numFmtId="0" fontId="19" fillId="0" borderId="3" applyAlignment="0">
      <alignment horizontal="center" vertical="center" wrapText="1"/>
    </xf>
    <xf numFmtId="0" fontId="20" fillId="0" borderId="3">
      <alignment horizontal="center" vertical="center" wrapText="1"/>
    </xf>
    <xf numFmtId="3" fontId="21" fillId="0" borderId="0"/>
    <xf numFmtId="0" fontId="22" fillId="0" borderId="5"/>
    <xf numFmtId="0" fontId="4" fillId="0" borderId="6" applyNumberFormat="0" applyFont="0" applyFill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4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8" fillId="0" borderId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67" fillId="0" borderId="0"/>
    <xf numFmtId="168" fontId="67" fillId="0" borderId="0" applyFont="0" applyFill="0" applyBorder="0" applyAlignment="0" applyProtection="0"/>
    <xf numFmtId="0" fontId="5" fillId="0" borderId="0"/>
    <xf numFmtId="0" fontId="4" fillId="0" borderId="0"/>
    <xf numFmtId="170" fontId="76" fillId="0" borderId="0" applyFont="0" applyFill="0" applyBorder="0" applyAlignment="0" applyProtection="0"/>
    <xf numFmtId="187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88" fontId="4" fillId="0" borderId="0" applyFont="0" applyFill="0" applyBorder="0" applyAlignment="0" applyProtection="0"/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166" fontId="82" fillId="0" borderId="0" applyFont="0" applyFill="0" applyBorder="0" applyAlignment="0" applyProtection="0"/>
    <xf numFmtId="0" fontId="4" fillId="4" borderId="0" applyNumberFormat="0"/>
    <xf numFmtId="0" fontId="4" fillId="4" borderId="0" applyNumberFormat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70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89" fontId="82" fillId="0" borderId="0" applyFont="0" applyFill="0" applyBorder="0" applyAlignment="0" applyProtection="0"/>
    <xf numFmtId="164" fontId="76" fillId="0" borderId="0" applyFont="0" applyFill="0" applyBorder="0" applyAlignment="0" applyProtection="0"/>
    <xf numFmtId="166" fontId="82" fillId="0" borderId="0" applyFont="0" applyFill="0" applyBorder="0" applyAlignment="0" applyProtection="0"/>
    <xf numFmtId="189" fontId="82" fillId="0" borderId="0" applyFont="0" applyFill="0" applyBorder="0" applyAlignment="0" applyProtection="0"/>
    <xf numFmtId="165" fontId="76" fillId="0" borderId="0" applyFont="0" applyFill="0" applyBorder="0" applyAlignment="0" applyProtection="0"/>
    <xf numFmtId="190" fontId="82" fillId="0" borderId="0" applyFont="0" applyFill="0" applyBorder="0" applyAlignment="0" applyProtection="0"/>
    <xf numFmtId="164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90" fontId="82" fillId="0" borderId="0" applyFont="0" applyFill="0" applyBorder="0" applyAlignment="0" applyProtection="0"/>
    <xf numFmtId="189" fontId="82" fillId="0" borderId="0" applyFont="0" applyFill="0" applyBorder="0" applyAlignment="0" applyProtection="0"/>
    <xf numFmtId="164" fontId="76" fillId="0" borderId="0" applyFont="0" applyFill="0" applyBorder="0" applyAlignment="0" applyProtection="0"/>
    <xf numFmtId="170" fontId="76" fillId="0" borderId="0" applyFont="0" applyFill="0" applyBorder="0" applyAlignment="0" applyProtection="0"/>
    <xf numFmtId="164" fontId="76" fillId="0" borderId="0" applyFont="0" applyFill="0" applyBorder="0" applyAlignment="0" applyProtection="0"/>
    <xf numFmtId="190" fontId="82" fillId="0" borderId="0" applyFont="0" applyFill="0" applyBorder="0" applyAlignment="0" applyProtection="0"/>
    <xf numFmtId="189" fontId="82" fillId="0" borderId="0" applyFont="0" applyFill="0" applyBorder="0" applyAlignment="0" applyProtection="0"/>
    <xf numFmtId="170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" fillId="4" borderId="0" applyNumberFormat="0"/>
    <xf numFmtId="0" fontId="4" fillId="4" borderId="0" applyNumberFormat="0"/>
    <xf numFmtId="0" fontId="4" fillId="4" borderId="0" applyNumberFormat="0"/>
    <xf numFmtId="0" fontId="4" fillId="4" borderId="0" applyNumberFormat="0"/>
    <xf numFmtId="0" fontId="83" fillId="4" borderId="0" applyNumberFormat="0"/>
    <xf numFmtId="0" fontId="83" fillId="4" borderId="0" applyNumberFormat="0"/>
    <xf numFmtId="0" fontId="83" fillId="4" borderId="0" applyNumberFormat="0"/>
    <xf numFmtId="0" fontId="4" fillId="4" borderId="0" applyNumberFormat="0"/>
    <xf numFmtId="9" fontId="84" fillId="0" borderId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70" fontId="76" fillId="0" borderId="0" applyFont="0" applyFill="0" applyBorder="0" applyAlignment="0" applyProtection="0"/>
    <xf numFmtId="0" fontId="85" fillId="0" borderId="0"/>
    <xf numFmtId="0" fontId="87" fillId="0" borderId="0"/>
    <xf numFmtId="0" fontId="88" fillId="0" borderId="0"/>
    <xf numFmtId="195" fontId="82" fillId="0" borderId="0" applyFont="0" applyFill="0" applyBorder="0" applyAlignment="0" applyProtection="0"/>
    <xf numFmtId="16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89" fillId="0" borderId="0">
      <alignment horizontal="center"/>
    </xf>
    <xf numFmtId="3" fontId="90" fillId="0" borderId="8">
      <alignment horizontal="left" vertical="top" wrapText="1"/>
    </xf>
    <xf numFmtId="0" fontId="91" fillId="0" borderId="0">
      <alignment vertical="top" wrapText="1"/>
    </xf>
    <xf numFmtId="0" fontId="92" fillId="0" borderId="0">
      <alignment horizontal="left"/>
    </xf>
    <xf numFmtId="0" fontId="93" fillId="0" borderId="9"/>
    <xf numFmtId="0" fontId="40" fillId="0" borderId="0" applyNumberFormat="0" applyFont="0" applyFill="0" applyAlignment="0"/>
    <xf numFmtId="0" fontId="5" fillId="0" borderId="0">
      <alignment horizontal="left"/>
    </xf>
    <xf numFmtId="0" fontId="1" fillId="0" borderId="0"/>
    <xf numFmtId="0" fontId="4" fillId="0" borderId="0"/>
    <xf numFmtId="0" fontId="2" fillId="0" borderId="0"/>
    <xf numFmtId="0" fontId="94" fillId="0" borderId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0" fontId="93" fillId="0" borderId="0"/>
    <xf numFmtId="0" fontId="95" fillId="0" borderId="0" applyFont="0">
      <alignment horizontal="centerContinuous"/>
    </xf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alignment vertical="center"/>
    </xf>
    <xf numFmtId="0" fontId="62" fillId="0" borderId="0" applyProtection="0"/>
    <xf numFmtId="40" fontId="98" fillId="0" borderId="0" applyFont="0" applyFill="0" applyBorder="0" applyAlignment="0" applyProtection="0"/>
    <xf numFmtId="197" fontId="98" fillId="0" borderId="0" applyFont="0" applyFill="0" applyBorder="0" applyAlignment="0" applyProtection="0"/>
  </cellStyleXfs>
  <cellXfs count="449">
    <xf numFmtId="0" fontId="0" fillId="0" borderId="0" xfId="0"/>
    <xf numFmtId="0" fontId="15" fillId="0" borderId="0" xfId="28"/>
    <xf numFmtId="0" fontId="30" fillId="0" borderId="0" xfId="31" applyFont="1" applyBorder="1"/>
    <xf numFmtId="0" fontId="15" fillId="0" borderId="0" xfId="28" applyBorder="1"/>
    <xf numFmtId="0" fontId="32" fillId="0" borderId="0" xfId="28" applyFont="1" applyBorder="1" applyAlignment="1"/>
    <xf numFmtId="0" fontId="2" fillId="0" borderId="0" xfId="0" applyFont="1"/>
    <xf numFmtId="0" fontId="2" fillId="0" borderId="4" xfId="0" applyFont="1" applyBorder="1"/>
    <xf numFmtId="0" fontId="7" fillId="0" borderId="0" xfId="0" applyFont="1"/>
    <xf numFmtId="0" fontId="4" fillId="0" borderId="0" xfId="29" applyFont="1"/>
    <xf numFmtId="0" fontId="4" fillId="0" borderId="4" xfId="29" applyFont="1" applyBorder="1"/>
    <xf numFmtId="0" fontId="37" fillId="0" borderId="0" xfId="29" applyFont="1" applyBorder="1" applyAlignment="1">
      <alignment wrapText="1"/>
    </xf>
    <xf numFmtId="0" fontId="37" fillId="0" borderId="0" xfId="29" applyFont="1" applyFill="1" applyBorder="1" applyAlignment="1">
      <alignment horizontal="center" vertical="center" wrapText="1"/>
    </xf>
    <xf numFmtId="0" fontId="4" fillId="0" borderId="0" xfId="29" applyFont="1" applyFill="1" applyBorder="1" applyAlignment="1">
      <alignment horizontal="center" vertical="center" wrapText="1"/>
    </xf>
    <xf numFmtId="0" fontId="32" fillId="0" borderId="0" xfId="0" applyFont="1"/>
    <xf numFmtId="0" fontId="38" fillId="0" borderId="0" xfId="28" applyFont="1" applyBorder="1" applyAlignment="1">
      <alignment horizontal="center"/>
    </xf>
    <xf numFmtId="0" fontId="38" fillId="0" borderId="0" xfId="0" applyFont="1"/>
    <xf numFmtId="0" fontId="38" fillId="0" borderId="0" xfId="0" applyFont="1" applyBorder="1"/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vertical="center"/>
    </xf>
    <xf numFmtId="0" fontId="38" fillId="0" borderId="4" xfId="0" applyFont="1" applyBorder="1"/>
    <xf numFmtId="0" fontId="4" fillId="0" borderId="4" xfId="33" applyFont="1" applyBorder="1" applyAlignment="1">
      <alignment horizontal="right"/>
    </xf>
    <xf numFmtId="0" fontId="38" fillId="0" borderId="0" xfId="0" applyFont="1" applyAlignment="1">
      <alignment horizontal="right"/>
    </xf>
    <xf numFmtId="0" fontId="35" fillId="0" borderId="0" xfId="0" applyFont="1"/>
    <xf numFmtId="0" fontId="43" fillId="0" borderId="0" xfId="30" applyFont="1" applyFill="1" applyAlignment="1">
      <alignment horizontal="left" indent="2"/>
    </xf>
    <xf numFmtId="0" fontId="41" fillId="0" borderId="0" xfId="33" applyNumberFormat="1" applyFont="1" applyAlignment="1">
      <alignment horizontal="left" indent="1"/>
    </xf>
    <xf numFmtId="0" fontId="42" fillId="0" borderId="0" xfId="33" applyNumberFormat="1" applyFont="1" applyAlignment="1">
      <alignment horizontal="left" indent="1"/>
    </xf>
    <xf numFmtId="0" fontId="45" fillId="0" borderId="0" xfId="30" applyFont="1" applyFill="1" applyAlignment="1">
      <alignment horizontal="left" indent="1"/>
    </xf>
    <xf numFmtId="0" fontId="45" fillId="0" borderId="0" xfId="30" applyFont="1" applyFill="1" applyAlignme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6" fillId="0" borderId="0" xfId="30" applyFont="1" applyFill="1"/>
    <xf numFmtId="0" fontId="46" fillId="0" borderId="0" xfId="30" applyFont="1" applyFill="1" applyAlignment="1">
      <alignment horizontal="left" indent="1"/>
    </xf>
    <xf numFmtId="0" fontId="40" fillId="0" borderId="0" xfId="29" applyFont="1"/>
    <xf numFmtId="0" fontId="40" fillId="0" borderId="0" xfId="29" applyFont="1" applyAlignment="1">
      <alignment vertical="center"/>
    </xf>
    <xf numFmtId="0" fontId="4" fillId="0" borderId="0" xfId="29" applyFont="1" applyAlignment="1">
      <alignment vertical="center"/>
    </xf>
    <xf numFmtId="0" fontId="37" fillId="0" borderId="0" xfId="29" applyFont="1" applyBorder="1" applyAlignment="1">
      <alignment horizontal="center" vertical="top" wrapText="1"/>
    </xf>
    <xf numFmtId="0" fontId="4" fillId="0" borderId="0" xfId="29" applyFont="1" applyBorder="1" applyAlignment="1">
      <alignment vertical="top" wrapText="1"/>
    </xf>
    <xf numFmtId="0" fontId="31" fillId="0" borderId="0" xfId="29" applyNumberFormat="1" applyFont="1" applyBorder="1" applyAlignment="1">
      <alignment horizontal="center" vertical="top" wrapText="1"/>
    </xf>
    <xf numFmtId="0" fontId="4" fillId="0" borderId="0" xfId="29" applyFont="1" applyBorder="1"/>
    <xf numFmtId="0" fontId="2" fillId="0" borderId="0" xfId="0" applyFont="1" applyBorder="1" applyAlignment="1">
      <alignment horizontal="center"/>
    </xf>
    <xf numFmtId="0" fontId="56" fillId="0" borderId="4" xfId="0" applyFont="1" applyFill="1" applyBorder="1"/>
    <xf numFmtId="0" fontId="40" fillId="0" borderId="4" xfId="29" applyFont="1" applyFill="1" applyBorder="1" applyAlignment="1">
      <alignment vertical="center"/>
    </xf>
    <xf numFmtId="0" fontId="37" fillId="0" borderId="7" xfId="29" applyFont="1" applyFill="1" applyBorder="1" applyAlignment="1">
      <alignment vertical="top" wrapText="1"/>
    </xf>
    <xf numFmtId="0" fontId="37" fillId="0" borderId="0" xfId="29" applyNumberFormat="1" applyFont="1" applyFill="1" applyBorder="1" applyAlignment="1">
      <alignment horizontal="center" vertical="center" wrapText="1"/>
    </xf>
    <xf numFmtId="0" fontId="37" fillId="0" borderId="0" xfId="29" applyFont="1" applyFill="1" applyBorder="1" applyAlignment="1">
      <alignment vertical="top" wrapText="1"/>
    </xf>
    <xf numFmtId="0" fontId="31" fillId="0" borderId="0" xfId="29" applyNumberFormat="1" applyFont="1" applyFill="1" applyBorder="1" applyAlignment="1">
      <alignment horizontal="center" vertical="center" wrapText="1"/>
    </xf>
    <xf numFmtId="0" fontId="31" fillId="0" borderId="4" xfId="29" applyNumberFormat="1" applyFont="1" applyFill="1" applyBorder="1" applyAlignment="1">
      <alignment horizontal="center" vertical="center" wrapText="1"/>
    </xf>
    <xf numFmtId="0" fontId="32" fillId="0" borderId="4" xfId="29" applyFont="1" applyFill="1" applyBorder="1" applyAlignment="1">
      <alignment horizontal="center"/>
    </xf>
    <xf numFmtId="0" fontId="32" fillId="0" borderId="4" xfId="29" applyFont="1" applyFill="1" applyBorder="1" applyAlignment="1">
      <alignment horizontal="center" vertical="center"/>
    </xf>
    <xf numFmtId="0" fontId="32" fillId="0" borderId="0" xfId="28" applyFont="1" applyFill="1" applyBorder="1" applyAlignment="1"/>
    <xf numFmtId="0" fontId="4" fillId="0" borderId="0" xfId="0" applyFont="1"/>
    <xf numFmtId="0" fontId="40" fillId="0" borderId="0" xfId="24"/>
    <xf numFmtId="0" fontId="48" fillId="0" borderId="0" xfId="23"/>
    <xf numFmtId="0" fontId="54" fillId="0" borderId="0" xfId="26"/>
    <xf numFmtId="0" fontId="47" fillId="0" borderId="0" xfId="25" applyFont="1" applyAlignment="1">
      <alignment horizontal="center"/>
    </xf>
    <xf numFmtId="0" fontId="37" fillId="0" borderId="7" xfId="29" applyFont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50" fillId="0" borderId="0" xfId="0" applyFont="1"/>
    <xf numFmtId="0" fontId="33" fillId="0" borderId="4" xfId="0" applyFont="1" applyBorder="1" applyAlignment="1">
      <alignment horizontal="right" vertical="center" wrapText="1"/>
    </xf>
    <xf numFmtId="0" fontId="0" fillId="0" borderId="4" xfId="0" applyBorder="1"/>
    <xf numFmtId="0" fontId="50" fillId="0" borderId="2" xfId="0" applyFont="1" applyBorder="1" applyAlignment="1">
      <alignment horizontal="right" vertical="center" wrapText="1"/>
    </xf>
    <xf numFmtId="0" fontId="33" fillId="0" borderId="0" xfId="0" applyFont="1" applyBorder="1" applyAlignment="1">
      <alignment vertical="top" wrapText="1"/>
    </xf>
    <xf numFmtId="0" fontId="40" fillId="0" borderId="4" xfId="34" applyFont="1" applyBorder="1"/>
    <xf numFmtId="0" fontId="40" fillId="0" borderId="4" xfId="34" applyFont="1" applyFill="1" applyBorder="1"/>
    <xf numFmtId="0" fontId="7" fillId="0" borderId="0" xfId="29" applyNumberFormat="1" applyFont="1" applyBorder="1" applyAlignment="1">
      <alignment horizontal="left"/>
    </xf>
    <xf numFmtId="0" fontId="40" fillId="0" borderId="0" xfId="29" applyFont="1" applyBorder="1"/>
    <xf numFmtId="0" fontId="39" fillId="0" borderId="0" xfId="29" applyNumberFormat="1" applyFont="1" applyBorder="1" applyAlignment="1">
      <alignment horizontal="left"/>
    </xf>
    <xf numFmtId="0" fontId="39" fillId="0" borderId="0" xfId="29" applyNumberFormat="1" applyFont="1" applyBorder="1" applyAlignment="1">
      <alignment horizontal="left" indent="2"/>
    </xf>
    <xf numFmtId="0" fontId="37" fillId="0" borderId="0" xfId="29" applyFont="1" applyBorder="1" applyAlignment="1">
      <alignment horizontal="center" wrapText="1"/>
    </xf>
    <xf numFmtId="0" fontId="42" fillId="0" borderId="0" xfId="29" applyNumberFormat="1" applyFont="1" applyBorder="1" applyAlignment="1">
      <alignment horizontal="center" wrapText="1"/>
    </xf>
    <xf numFmtId="0" fontId="42" fillId="0" borderId="0" xfId="29" applyFont="1" applyBorder="1" applyAlignment="1">
      <alignment horizontal="center" wrapText="1"/>
    </xf>
    <xf numFmtId="0" fontId="7" fillId="0" borderId="0" xfId="0" applyFont="1" applyBorder="1"/>
    <xf numFmtId="0" fontId="2" fillId="0" borderId="0" xfId="0" applyFont="1" applyBorder="1"/>
    <xf numFmtId="0" fontId="0" fillId="0" borderId="0" xfId="0" applyBorder="1"/>
    <xf numFmtId="0" fontId="39" fillId="0" borderId="0" xfId="0" applyNumberFormat="1" applyFont="1" applyBorder="1" applyAlignment="1">
      <alignment horizontal="left"/>
    </xf>
    <xf numFmtId="0" fontId="34" fillId="0" borderId="0" xfId="0" applyFont="1" applyBorder="1"/>
    <xf numFmtId="0" fontId="33" fillId="0" borderId="0" xfId="0" applyFont="1" applyBorder="1"/>
    <xf numFmtId="3" fontId="50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184" fontId="50" fillId="0" borderId="0" xfId="0" applyNumberFormat="1" applyFont="1" applyBorder="1"/>
    <xf numFmtId="0" fontId="36" fillId="0" borderId="0" xfId="29" applyFont="1" applyBorder="1"/>
    <xf numFmtId="0" fontId="57" fillId="0" borderId="0" xfId="29" applyFont="1" applyFill="1" applyBorder="1" applyAlignment="1">
      <alignment horizontal="left"/>
    </xf>
    <xf numFmtId="0" fontId="33" fillId="0" borderId="0" xfId="29" applyFont="1" applyBorder="1" applyAlignment="1"/>
    <xf numFmtId="0" fontId="33" fillId="0" borderId="0" xfId="29" applyNumberFormat="1" applyFont="1" applyFill="1" applyBorder="1" applyAlignment="1">
      <alignment horizontal="right" wrapText="1"/>
    </xf>
    <xf numFmtId="0" fontId="33" fillId="0" borderId="0" xfId="29" applyFont="1" applyBorder="1"/>
    <xf numFmtId="0" fontId="4" fillId="0" borderId="0" xfId="29" applyNumberFormat="1" applyFont="1" applyFill="1" applyBorder="1" applyAlignment="1">
      <alignment horizontal="right" wrapText="1"/>
    </xf>
    <xf numFmtId="0" fontId="4" fillId="0" borderId="0" xfId="29" applyFont="1" applyBorder="1" applyAlignment="1">
      <alignment horizontal="left" indent="2"/>
    </xf>
    <xf numFmtId="41" fontId="4" fillId="0" borderId="0" xfId="29" applyNumberFormat="1" applyFont="1" applyFill="1" applyBorder="1" applyAlignment="1">
      <alignment horizontal="right" wrapText="1"/>
    </xf>
    <xf numFmtId="0" fontId="36" fillId="0" borderId="0" xfId="0" applyFont="1" applyBorder="1"/>
    <xf numFmtId="0" fontId="50" fillId="0" borderId="0" xfId="0" applyFont="1" applyBorder="1"/>
    <xf numFmtId="41" fontId="0" fillId="0" borderId="0" xfId="0" applyNumberFormat="1" applyBorder="1" applyAlignment="1">
      <alignment horizontal="right" wrapText="1"/>
    </xf>
    <xf numFmtId="0" fontId="4" fillId="0" borderId="0" xfId="0" applyFont="1" applyBorder="1" applyAlignment="1">
      <alignment horizontal="left" indent="1"/>
    </xf>
    <xf numFmtId="0" fontId="36" fillId="0" borderId="0" xfId="0" applyNumberFormat="1" applyFont="1" applyBorder="1"/>
    <xf numFmtId="3" fontId="38" fillId="0" borderId="0" xfId="0" applyNumberFormat="1" applyFont="1" applyBorder="1"/>
    <xf numFmtId="0" fontId="38" fillId="0" borderId="0" xfId="0" applyFont="1" applyBorder="1" applyAlignment="1">
      <alignment horizontal="left" indent="1"/>
    </xf>
    <xf numFmtId="0" fontId="38" fillId="0" borderId="0" xfId="0" applyFont="1" applyBorder="1" applyAlignment="1">
      <alignment horizontal="left" indent="3"/>
    </xf>
    <xf numFmtId="41" fontId="38" fillId="0" borderId="0" xfId="0" applyNumberFormat="1" applyFont="1" applyBorder="1" applyAlignment="1">
      <alignment horizontal="right" wrapText="1"/>
    </xf>
    <xf numFmtId="0" fontId="32" fillId="0" borderId="0" xfId="0" applyFont="1" applyBorder="1"/>
    <xf numFmtId="184" fontId="38" fillId="0" borderId="0" xfId="0" applyNumberFormat="1" applyFont="1" applyBorder="1"/>
    <xf numFmtId="0" fontId="32" fillId="0" borderId="4" xfId="0" applyFont="1" applyBorder="1"/>
    <xf numFmtId="0" fontId="51" fillId="0" borderId="0" xfId="33" applyFont="1" applyBorder="1" applyAlignment="1">
      <alignment horizontal="center" wrapText="1"/>
    </xf>
    <xf numFmtId="0" fontId="50" fillId="0" borderId="2" xfId="0" applyFont="1" applyBorder="1" applyAlignment="1">
      <alignment vertical="center"/>
    </xf>
    <xf numFmtId="0" fontId="37" fillId="0" borderId="0" xfId="33" applyNumberFormat="1" applyFont="1" applyBorder="1" applyAlignment="1">
      <alignment wrapText="1"/>
    </xf>
    <xf numFmtId="3" fontId="0" fillId="0" borderId="0" xfId="0" applyNumberFormat="1" applyBorder="1"/>
    <xf numFmtId="0" fontId="31" fillId="0" borderId="0" xfId="33" applyNumberFormat="1" applyFont="1" applyBorder="1" applyAlignment="1">
      <alignment wrapText="1"/>
    </xf>
    <xf numFmtId="0" fontId="4" fillId="0" borderId="0" xfId="33" applyNumberFormat="1" applyFont="1" applyFill="1" applyBorder="1" applyAlignment="1">
      <alignment wrapText="1"/>
    </xf>
    <xf numFmtId="0" fontId="37" fillId="0" borderId="0" xfId="33" applyNumberFormat="1" applyFont="1" applyBorder="1" applyAlignment="1"/>
    <xf numFmtId="0" fontId="31" fillId="0" borderId="0" xfId="33" applyNumberFormat="1" applyFont="1" applyBorder="1" applyAlignment="1"/>
    <xf numFmtId="0" fontId="32" fillId="0" borderId="4" xfId="27" applyFont="1" applyFill="1" applyBorder="1" applyAlignment="1">
      <alignment horizontal="center" wrapText="1"/>
    </xf>
    <xf numFmtId="0" fontId="32" fillId="0" borderId="4" xfId="27" applyFont="1" applyBorder="1" applyAlignment="1">
      <alignment horizontal="center"/>
    </xf>
    <xf numFmtId="0" fontId="32" fillId="0" borderId="4" xfId="27" applyFont="1" applyBorder="1" applyAlignment="1">
      <alignment horizontal="center" wrapText="1"/>
    </xf>
    <xf numFmtId="0" fontId="32" fillId="0" borderId="0" xfId="27" applyFont="1" applyFill="1" applyBorder="1" applyAlignment="1">
      <alignment horizontal="center" wrapText="1"/>
    </xf>
    <xf numFmtId="0" fontId="32" fillId="0" borderId="0" xfId="27" applyFont="1" applyBorder="1" applyAlignment="1">
      <alignment horizontal="center"/>
    </xf>
    <xf numFmtId="0" fontId="32" fillId="0" borderId="0" xfId="27" applyFont="1" applyBorder="1" applyAlignment="1">
      <alignment horizontal="center" wrapText="1"/>
    </xf>
    <xf numFmtId="0" fontId="32" fillId="0" borderId="0" xfId="29" applyFont="1" applyBorder="1"/>
    <xf numFmtId="0" fontId="15" fillId="0" borderId="4" xfId="28" applyBorder="1"/>
    <xf numFmtId="0" fontId="7" fillId="0" borderId="0" xfId="31" applyFont="1" applyBorder="1" applyAlignment="1"/>
    <xf numFmtId="0" fontId="35" fillId="0" borderId="0" xfId="31" applyFont="1" applyBorder="1" applyAlignment="1"/>
    <xf numFmtId="0" fontId="59" fillId="0" borderId="0" xfId="31" applyFont="1" applyBorder="1" applyAlignment="1">
      <alignment horizontal="center"/>
    </xf>
    <xf numFmtId="0" fontId="60" fillId="0" borderId="0" xfId="31" applyFont="1" applyBorder="1" applyAlignment="1">
      <alignment horizontal="center"/>
    </xf>
    <xf numFmtId="0" fontId="31" fillId="0" borderId="0" xfId="28" applyNumberFormat="1" applyFont="1" applyBorder="1" applyAlignment="1">
      <alignment horizontal="left" wrapText="1"/>
    </xf>
    <xf numFmtId="0" fontId="32" fillId="0" borderId="0" xfId="0" applyFont="1" applyBorder="1" applyAlignment="1">
      <alignment wrapText="1"/>
    </xf>
    <xf numFmtId="183" fontId="61" fillId="0" borderId="0" xfId="32" applyNumberFormat="1" applyFont="1" applyAlignment="1">
      <alignment wrapText="1"/>
    </xf>
    <xf numFmtId="0" fontId="61" fillId="0" borderId="0" xfId="34" applyFont="1" applyAlignment="1"/>
    <xf numFmtId="183" fontId="61" fillId="0" borderId="0" xfId="34" applyNumberFormat="1" applyFont="1" applyAlignment="1"/>
    <xf numFmtId="169" fontId="62" fillId="0" borderId="0" xfId="34" applyNumberFormat="1" applyFont="1" applyAlignment="1"/>
    <xf numFmtId="169" fontId="61" fillId="0" borderId="0" xfId="34" applyNumberFormat="1" applyFont="1" applyAlignment="1"/>
    <xf numFmtId="0" fontId="62" fillId="0" borderId="0" xfId="0" applyFont="1" applyAlignment="1">
      <alignment horizontal="center"/>
    </xf>
    <xf numFmtId="0" fontId="62" fillId="0" borderId="0" xfId="34" applyFont="1"/>
    <xf numFmtId="0" fontId="61" fillId="0" borderId="0" xfId="34" applyFont="1"/>
    <xf numFmtId="0" fontId="63" fillId="0" borderId="0" xfId="34" applyFont="1"/>
    <xf numFmtId="3" fontId="64" fillId="0" borderId="0" xfId="0" applyNumberFormat="1" applyFont="1" applyBorder="1"/>
    <xf numFmtId="3" fontId="65" fillId="0" borderId="0" xfId="0" applyNumberFormat="1" applyFont="1" applyBorder="1"/>
    <xf numFmtId="41" fontId="65" fillId="0" borderId="0" xfId="0" applyNumberFormat="1" applyFont="1" applyBorder="1" applyAlignment="1">
      <alignment horizontal="right" wrapText="1"/>
    </xf>
    <xf numFmtId="3" fontId="65" fillId="0" borderId="0" xfId="0" applyNumberFormat="1" applyFont="1" applyBorder="1" applyAlignment="1">
      <alignment horizontal="right"/>
    </xf>
    <xf numFmtId="184" fontId="64" fillId="0" borderId="0" xfId="0" applyNumberFormat="1" applyFont="1" applyBorder="1"/>
    <xf numFmtId="184" fontId="65" fillId="0" borderId="0" xfId="0" applyNumberFormat="1" applyFont="1" applyBorder="1"/>
    <xf numFmtId="184" fontId="65" fillId="0" borderId="0" xfId="0" applyNumberFormat="1" applyFont="1" applyBorder="1" applyAlignment="1">
      <alignment horizontal="right"/>
    </xf>
    <xf numFmtId="0" fontId="62" fillId="0" borderId="0" xfId="0" applyFont="1" applyBorder="1"/>
    <xf numFmtId="0" fontId="66" fillId="0" borderId="0" xfId="0" applyFont="1" applyBorder="1"/>
    <xf numFmtId="0" fontId="61" fillId="0" borderId="0" xfId="0" applyFont="1" applyBorder="1" applyAlignment="1">
      <alignment horizontal="left" indent="1"/>
    </xf>
    <xf numFmtId="0" fontId="61" fillId="0" borderId="0" xfId="0" applyFont="1" applyBorder="1" applyAlignment="1">
      <alignment horizontal="left" indent="2"/>
    </xf>
    <xf numFmtId="0" fontId="63" fillId="0" borderId="0" xfId="0" applyFont="1" applyBorder="1" applyAlignment="1">
      <alignment horizontal="left" indent="1"/>
    </xf>
    <xf numFmtId="0" fontId="61" fillId="0" borderId="0" xfId="0" applyFont="1" applyBorder="1"/>
    <xf numFmtId="0" fontId="55" fillId="5" borderId="0" xfId="0" applyFont="1" applyFill="1"/>
    <xf numFmtId="0" fontId="68" fillId="0" borderId="0" xfId="59" applyFont="1"/>
    <xf numFmtId="0" fontId="4" fillId="0" borderId="0" xfId="59" applyFont="1"/>
    <xf numFmtId="0" fontId="33" fillId="0" borderId="0" xfId="59" applyFont="1" applyBorder="1" applyAlignment="1">
      <alignment vertical="top" wrapText="1"/>
    </xf>
    <xf numFmtId="167" fontId="4" fillId="0" borderId="0" xfId="60" applyNumberFormat="1" applyFont="1"/>
    <xf numFmtId="0" fontId="68" fillId="0" borderId="0" xfId="34" applyFont="1"/>
    <xf numFmtId="0" fontId="40" fillId="0" borderId="0" xfId="34" applyFont="1"/>
    <xf numFmtId="0" fontId="36" fillId="0" borderId="0" xfId="59" applyFont="1" applyAlignment="1">
      <alignment vertical="center" wrapText="1"/>
    </xf>
    <xf numFmtId="0" fontId="33" fillId="0" borderId="0" xfId="59" applyFont="1" applyAlignment="1">
      <alignment horizontal="center" vertical="center"/>
    </xf>
    <xf numFmtId="2" fontId="4" fillId="0" borderId="0" xfId="59" applyNumberFormat="1" applyFont="1"/>
    <xf numFmtId="0" fontId="33" fillId="0" borderId="0" xfId="59" applyFont="1" applyAlignment="1">
      <alignment wrapText="1"/>
    </xf>
    <xf numFmtId="0" fontId="4" fillId="0" borderId="4" xfId="59" applyFont="1" applyBorder="1"/>
    <xf numFmtId="0" fontId="68" fillId="0" borderId="0" xfId="59" applyFont="1" applyBorder="1" applyAlignment="1"/>
    <xf numFmtId="0" fontId="71" fillId="0" borderId="0" xfId="59" applyFont="1" applyAlignment="1"/>
    <xf numFmtId="0" fontId="4" fillId="0" borderId="0" xfId="62" applyFont="1"/>
    <xf numFmtId="0" fontId="33" fillId="0" borderId="4" xfId="62" applyFont="1" applyBorder="1" applyAlignment="1">
      <alignment vertical="center"/>
    </xf>
    <xf numFmtId="0" fontId="33" fillId="0" borderId="4" xfId="62" applyFont="1" applyBorder="1" applyAlignment="1">
      <alignment horizontal="right" vertical="center" wrapText="1"/>
    </xf>
    <xf numFmtId="0" fontId="62" fillId="0" borderId="0" xfId="62" applyFont="1" applyAlignment="1">
      <alignment wrapText="1"/>
    </xf>
    <xf numFmtId="3" fontId="61" fillId="0" borderId="0" xfId="59" applyNumberFormat="1" applyFont="1" applyAlignment="1">
      <alignment horizontal="right"/>
    </xf>
    <xf numFmtId="0" fontId="61" fillId="0" borderId="0" xfId="62" applyFont="1"/>
    <xf numFmtId="0" fontId="61" fillId="0" borderId="0" xfId="62" applyFont="1" applyAlignment="1">
      <alignment horizontal="left" indent="1"/>
    </xf>
    <xf numFmtId="3" fontId="61" fillId="0" borderId="0" xfId="60" applyNumberFormat="1" applyFont="1"/>
    <xf numFmtId="3" fontId="61" fillId="0" borderId="0" xfId="60" applyNumberFormat="1" applyFont="1" applyFill="1"/>
    <xf numFmtId="0" fontId="61" fillId="0" borderId="0" xfId="62" applyFont="1" applyAlignment="1">
      <alignment horizontal="left" indent="2"/>
    </xf>
    <xf numFmtId="186" fontId="61" fillId="0" borderId="0" xfId="60" applyNumberFormat="1" applyFont="1"/>
    <xf numFmtId="0" fontId="63" fillId="0" borderId="0" xfId="62" applyFont="1" applyAlignment="1">
      <alignment horizontal="left" indent="1"/>
    </xf>
    <xf numFmtId="3" fontId="61" fillId="0" borderId="0" xfId="62" applyNumberFormat="1" applyFont="1"/>
    <xf numFmtId="0" fontId="61" fillId="0" borderId="0" xfId="62" applyFont="1" applyFill="1" applyAlignment="1">
      <alignment horizontal="left" wrapText="1" indent="1"/>
    </xf>
    <xf numFmtId="0" fontId="61" fillId="0" borderId="0" xfId="62" applyFont="1" applyFill="1" applyAlignment="1">
      <alignment horizontal="left" indent="1"/>
    </xf>
    <xf numFmtId="0" fontId="61" fillId="0" borderId="0" xfId="62" applyFont="1" applyFill="1" applyBorder="1" applyAlignment="1">
      <alignment horizontal="left" indent="1"/>
    </xf>
    <xf numFmtId="3" fontId="61" fillId="0" borderId="0" xfId="60" applyNumberFormat="1" applyFont="1" applyBorder="1"/>
    <xf numFmtId="0" fontId="71" fillId="0" borderId="0" xfId="59" applyFont="1" applyAlignment="1">
      <alignment horizontal="right"/>
    </xf>
    <xf numFmtId="0" fontId="33" fillId="0" borderId="0" xfId="62" applyFont="1" applyAlignment="1">
      <alignment wrapText="1"/>
    </xf>
    <xf numFmtId="0" fontId="32" fillId="0" borderId="0" xfId="62" applyFont="1" applyAlignment="1">
      <alignment horizontal="left" indent="1"/>
    </xf>
    <xf numFmtId="0" fontId="4" fillId="0" borderId="0" xfId="61" applyFont="1" applyBorder="1" applyAlignment="1">
      <alignment horizontal="right" vertical="top" wrapText="1"/>
    </xf>
    <xf numFmtId="0" fontId="33" fillId="0" borderId="0" xfId="61" applyFont="1" applyBorder="1" applyAlignment="1">
      <alignment horizontal="center" vertical="center" wrapText="1"/>
    </xf>
    <xf numFmtId="0" fontId="34" fillId="0" borderId="4" xfId="59" applyFont="1" applyBorder="1" applyAlignment="1">
      <alignment horizontal="center" vertical="center" wrapText="1"/>
    </xf>
    <xf numFmtId="0" fontId="33" fillId="0" borderId="0" xfId="59" applyFont="1" applyAlignment="1">
      <alignment horizontal="left"/>
    </xf>
    <xf numFmtId="0" fontId="4" fillId="0" borderId="0" xfId="59" applyFont="1" applyAlignment="1">
      <alignment horizontal="center"/>
    </xf>
    <xf numFmtId="3" fontId="33" fillId="0" borderId="0" xfId="59" applyNumberFormat="1" applyFont="1" applyAlignment="1">
      <alignment horizontal="right" wrapText="1"/>
    </xf>
    <xf numFmtId="0" fontId="32" fillId="0" borderId="0" xfId="59" applyFont="1" applyAlignment="1">
      <alignment horizontal="left"/>
    </xf>
    <xf numFmtId="0" fontId="32" fillId="0" borderId="0" xfId="59" applyFont="1" applyAlignment="1">
      <alignment horizontal="center"/>
    </xf>
    <xf numFmtId="0" fontId="4" fillId="0" borderId="0" xfId="59" applyFont="1" applyAlignment="1">
      <alignment horizontal="left"/>
    </xf>
    <xf numFmtId="0" fontId="33" fillId="0" borderId="0" xfId="59" applyFont="1"/>
    <xf numFmtId="0" fontId="32" fillId="0" borderId="0" xfId="59" applyFont="1"/>
    <xf numFmtId="4" fontId="33" fillId="0" borderId="0" xfId="59" applyNumberFormat="1" applyFont="1" applyAlignment="1">
      <alignment horizontal="right" wrapText="1"/>
    </xf>
    <xf numFmtId="184" fontId="33" fillId="0" borderId="0" xfId="59" applyNumberFormat="1" applyFont="1" applyAlignment="1">
      <alignment horizontal="right" wrapText="1"/>
    </xf>
    <xf numFmtId="0" fontId="4" fillId="0" borderId="0" xfId="61" applyFont="1" applyBorder="1" applyAlignment="1">
      <alignment horizontal="center" vertical="center" wrapText="1"/>
    </xf>
    <xf numFmtId="0" fontId="32" fillId="0" borderId="4" xfId="59" applyFont="1" applyBorder="1" applyAlignment="1">
      <alignment horizontal="center" vertical="center" wrapText="1"/>
    </xf>
    <xf numFmtId="0" fontId="53" fillId="0" borderId="0" xfId="59" applyFont="1"/>
    <xf numFmtId="0" fontId="52" fillId="0" borderId="0" xfId="59" applyFont="1" applyAlignment="1">
      <alignment horizontal="center"/>
    </xf>
    <xf numFmtId="0" fontId="52" fillId="0" borderId="0" xfId="59" applyFont="1"/>
    <xf numFmtId="0" fontId="99" fillId="0" borderId="0" xfId="59" applyFont="1" applyAlignment="1">
      <alignment horizontal="center"/>
    </xf>
    <xf numFmtId="0" fontId="99" fillId="0" borderId="0" xfId="59" applyFont="1"/>
    <xf numFmtId="0" fontId="52" fillId="0" borderId="0" xfId="59" applyFont="1" applyAlignment="1">
      <alignment horizontal="left"/>
    </xf>
    <xf numFmtId="184" fontId="33" fillId="0" borderId="0" xfId="59" applyNumberFormat="1" applyFont="1" applyFill="1" applyAlignment="1">
      <alignment horizontal="right"/>
    </xf>
    <xf numFmtId="0" fontId="32" fillId="0" borderId="4" xfId="59" applyFont="1" applyBorder="1"/>
    <xf numFmtId="0" fontId="69" fillId="0" borderId="0" xfId="59" applyFont="1"/>
    <xf numFmtId="0" fontId="100" fillId="0" borderId="0" xfId="59" applyFont="1" applyAlignment="1">
      <alignment horizontal="center"/>
    </xf>
    <xf numFmtId="0" fontId="68" fillId="0" borderId="0" xfId="59" applyFont="1" applyAlignment="1"/>
    <xf numFmtId="0" fontId="71" fillId="0" borderId="0" xfId="59" applyFont="1" applyAlignment="1">
      <alignment horizontal="left"/>
    </xf>
    <xf numFmtId="0" fontId="70" fillId="0" borderId="0" xfId="62" applyFont="1" applyAlignment="1"/>
    <xf numFmtId="0" fontId="35" fillId="0" borderId="0" xfId="62" applyFont="1"/>
    <xf numFmtId="0" fontId="4" fillId="0" borderId="4" xfId="62" applyFont="1" applyBorder="1"/>
    <xf numFmtId="0" fontId="33" fillId="0" borderId="0" xfId="62" applyFont="1"/>
    <xf numFmtId="0" fontId="33" fillId="0" borderId="2" xfId="62" applyFont="1" applyBorder="1" applyAlignment="1">
      <alignment horizontal="right" vertical="center"/>
    </xf>
    <xf numFmtId="0" fontId="33" fillId="0" borderId="2" xfId="62" applyFont="1" applyBorder="1" applyAlignment="1">
      <alignment horizontal="right" vertical="center" wrapText="1"/>
    </xf>
    <xf numFmtId="0" fontId="4" fillId="0" borderId="0" xfId="62" applyFont="1" applyBorder="1" applyAlignment="1">
      <alignment horizontal="center" vertical="center" wrapText="1"/>
    </xf>
    <xf numFmtId="167" fontId="33" fillId="0" borderId="0" xfId="62" applyNumberFormat="1" applyFont="1" applyAlignment="1">
      <alignment horizontal="right" wrapText="1"/>
    </xf>
    <xf numFmtId="3" fontId="37" fillId="0" borderId="0" xfId="32" applyNumberFormat="1" applyFont="1" applyAlignment="1">
      <alignment horizontal="right"/>
    </xf>
    <xf numFmtId="0" fontId="33" fillId="0" borderId="4" xfId="62" applyFont="1" applyBorder="1"/>
    <xf numFmtId="3" fontId="37" fillId="0" borderId="4" xfId="32" applyNumberFormat="1" applyFont="1" applyBorder="1" applyAlignment="1">
      <alignment horizontal="right"/>
    </xf>
    <xf numFmtId="0" fontId="4" fillId="0" borderId="0" xfId="62"/>
    <xf numFmtId="0" fontId="7" fillId="0" borderId="0" xfId="62" applyFont="1"/>
    <xf numFmtId="0" fontId="36" fillId="0" borderId="0" xfId="62" applyFont="1"/>
    <xf numFmtId="0" fontId="4" fillId="0" borderId="0" xfId="62" applyFont="1" applyBorder="1"/>
    <xf numFmtId="0" fontId="4" fillId="0" borderId="0" xfId="62" applyBorder="1" applyAlignment="1">
      <alignment horizontal="center" vertical="center" wrapText="1"/>
    </xf>
    <xf numFmtId="167" fontId="33" fillId="0" borderId="0" xfId="60" applyNumberFormat="1" applyFont="1"/>
    <xf numFmtId="167" fontId="33" fillId="0" borderId="0" xfId="62" applyNumberFormat="1" applyFont="1"/>
    <xf numFmtId="167" fontId="50" fillId="0" borderId="0" xfId="60" applyNumberFormat="1" applyFont="1"/>
    <xf numFmtId="0" fontId="4" fillId="0" borderId="4" xfId="62" applyBorder="1"/>
    <xf numFmtId="0" fontId="69" fillId="0" borderId="0" xfId="62" applyFont="1" applyAlignment="1">
      <alignment wrapText="1"/>
    </xf>
    <xf numFmtId="0" fontId="69" fillId="0" borderId="0" xfId="62" applyFont="1" applyAlignment="1"/>
    <xf numFmtId="0" fontId="7" fillId="0" borderId="0" xfId="29" applyFont="1" applyBorder="1" applyAlignment="1"/>
    <xf numFmtId="0" fontId="32" fillId="0" borderId="0" xfId="27" applyFont="1" applyBorder="1" applyAlignment="1">
      <alignment horizontal="left" wrapText="1"/>
    </xf>
    <xf numFmtId="0" fontId="33" fillId="0" borderId="4" xfId="59" applyFont="1" applyFill="1" applyBorder="1" applyAlignment="1">
      <alignment horizontal="right" vertical="center" wrapText="1"/>
    </xf>
    <xf numFmtId="0" fontId="33" fillId="0" borderId="4" xfId="59" applyFont="1" applyBorder="1" applyAlignment="1">
      <alignment horizontal="right" vertical="center" wrapText="1"/>
    </xf>
    <xf numFmtId="0" fontId="36" fillId="0" borderId="0" xfId="59" applyFont="1" applyAlignment="1">
      <alignment wrapText="1"/>
    </xf>
    <xf numFmtId="0" fontId="2" fillId="0" borderId="0" xfId="59" applyFont="1"/>
    <xf numFmtId="184" fontId="2" fillId="0" borderId="0" xfId="59" applyNumberFormat="1" applyFont="1"/>
    <xf numFmtId="167" fontId="2" fillId="0" borderId="0" xfId="60" applyNumberFormat="1" applyFont="1" applyFill="1"/>
    <xf numFmtId="167" fontId="2" fillId="0" borderId="0" xfId="60" applyNumberFormat="1" applyFont="1"/>
    <xf numFmtId="2" fontId="2" fillId="0" borderId="0" xfId="59" applyNumberFormat="1" applyFont="1"/>
    <xf numFmtId="169" fontId="2" fillId="0" borderId="0" xfId="59" applyNumberFormat="1" applyFont="1"/>
    <xf numFmtId="169" fontId="33" fillId="0" borderId="0" xfId="59" applyNumberFormat="1" applyFont="1"/>
    <xf numFmtId="0" fontId="2" fillId="0" borderId="0" xfId="59" applyFont="1" applyBorder="1"/>
    <xf numFmtId="0" fontId="2" fillId="0" borderId="4" xfId="59" applyFont="1" applyBorder="1"/>
    <xf numFmtId="0" fontId="70" fillId="0" borderId="0" xfId="59" applyFont="1" applyAlignment="1"/>
    <xf numFmtId="0" fontId="70" fillId="0" borderId="0" xfId="59" applyFont="1" applyAlignment="1">
      <alignment horizontal="right"/>
    </xf>
    <xf numFmtId="0" fontId="102" fillId="0" borderId="0" xfId="59" applyFont="1"/>
    <xf numFmtId="0" fontId="104" fillId="0" borderId="0" xfId="59" applyFont="1" applyAlignment="1">
      <alignment wrapText="1"/>
    </xf>
    <xf numFmtId="0" fontId="105" fillId="0" borderId="0" xfId="59" applyFont="1"/>
    <xf numFmtId="0" fontId="107" fillId="0" borderId="0" xfId="59" applyFont="1" applyBorder="1" applyAlignment="1">
      <alignment vertical="top" wrapText="1"/>
    </xf>
    <xf numFmtId="0" fontId="107" fillId="0" borderId="4" xfId="59" applyFont="1" applyFill="1" applyBorder="1" applyAlignment="1">
      <alignment horizontal="right" vertical="center" wrapText="1"/>
    </xf>
    <xf numFmtId="0" fontId="107" fillId="0" borderId="0" xfId="59" applyFont="1" applyAlignment="1">
      <alignment horizontal="center"/>
    </xf>
    <xf numFmtId="0" fontId="106" fillId="0" borderId="0" xfId="59" applyFont="1"/>
    <xf numFmtId="184" fontId="105" fillId="0" borderId="0" xfId="59" applyNumberFormat="1" applyFont="1"/>
    <xf numFmtId="0" fontId="107" fillId="0" borderId="0" xfId="59" applyFont="1"/>
    <xf numFmtId="0" fontId="105" fillId="0" borderId="0" xfId="59" applyFont="1" applyAlignment="1">
      <alignment wrapText="1"/>
    </xf>
    <xf numFmtId="0" fontId="107" fillId="0" borderId="0" xfId="59" applyFont="1" applyAlignment="1"/>
    <xf numFmtId="0" fontId="105" fillId="0" borderId="0" xfId="59" applyFont="1" applyFill="1" applyAlignment="1">
      <alignment wrapText="1"/>
    </xf>
    <xf numFmtId="0" fontId="105" fillId="0" borderId="0" xfId="59" applyFont="1" applyBorder="1"/>
    <xf numFmtId="0" fontId="102" fillId="0" borderId="4" xfId="59" applyFont="1" applyBorder="1"/>
    <xf numFmtId="0" fontId="68" fillId="0" borderId="0" xfId="59" applyFont="1" applyAlignment="1">
      <alignment horizontal="left"/>
    </xf>
    <xf numFmtId="0" fontId="69" fillId="0" borderId="0" xfId="59" applyFont="1" applyAlignment="1">
      <alignment horizontal="left" indent="2"/>
    </xf>
    <xf numFmtId="0" fontId="36" fillId="0" borderId="0" xfId="59" applyFont="1" applyAlignment="1">
      <alignment horizontal="left" wrapText="1"/>
    </xf>
    <xf numFmtId="0" fontId="2" fillId="0" borderId="0" xfId="59" applyFont="1" applyAlignment="1">
      <alignment horizontal="center" vertical="top" wrapText="1"/>
    </xf>
    <xf numFmtId="3" fontId="2" fillId="0" borderId="0" xfId="59" applyNumberFormat="1" applyFont="1"/>
    <xf numFmtId="0" fontId="2" fillId="0" borderId="0" xfId="59" applyFont="1" applyAlignment="1">
      <alignment horizontal="center"/>
    </xf>
    <xf numFmtId="0" fontId="32" fillId="0" borderId="0" xfId="59" applyFont="1" applyAlignment="1">
      <alignment horizontal="center" wrapText="1"/>
    </xf>
    <xf numFmtId="0" fontId="2" fillId="0" borderId="0" xfId="59" applyFont="1" applyAlignment="1">
      <alignment vertical="center"/>
    </xf>
    <xf numFmtId="0" fontId="2" fillId="6" borderId="0" xfId="59" applyFont="1" applyFill="1" applyAlignment="1">
      <alignment horizontal="center"/>
    </xf>
    <xf numFmtId="0" fontId="32" fillId="6" borderId="0" xfId="59" applyFont="1" applyFill="1" applyAlignment="1">
      <alignment horizontal="center"/>
    </xf>
    <xf numFmtId="0" fontId="52" fillId="6" borderId="0" xfId="59" applyFont="1" applyFill="1" applyAlignment="1">
      <alignment horizontal="center"/>
    </xf>
    <xf numFmtId="0" fontId="2" fillId="0" borderId="4" xfId="59" applyFont="1" applyBorder="1" applyAlignment="1"/>
    <xf numFmtId="0" fontId="2" fillId="0" borderId="4" xfId="59" applyFont="1" applyBorder="1" applyAlignment="1">
      <alignment vertical="center"/>
    </xf>
    <xf numFmtId="0" fontId="101" fillId="0" borderId="0" xfId="59" applyFont="1" applyAlignment="1">
      <alignment horizontal="right"/>
    </xf>
    <xf numFmtId="0" fontId="69" fillId="0" borderId="0" xfId="59" applyFont="1" applyAlignment="1"/>
    <xf numFmtId="0" fontId="2" fillId="0" borderId="0" xfId="59" applyFont="1" applyAlignment="1">
      <alignment horizontal="center" wrapText="1"/>
    </xf>
    <xf numFmtId="183" fontId="2" fillId="0" borderId="0" xfId="59" applyNumberFormat="1" applyFont="1" applyAlignment="1"/>
    <xf numFmtId="0" fontId="2" fillId="0" borderId="0" xfId="59" applyFont="1" applyAlignment="1">
      <alignment horizontal="center" vertical="center" wrapText="1"/>
    </xf>
    <xf numFmtId="0" fontId="37" fillId="0" borderId="0" xfId="32" applyFont="1" applyFill="1" applyAlignment="1"/>
    <xf numFmtId="0" fontId="2" fillId="6" borderId="0" xfId="59" applyFont="1" applyFill="1" applyAlignment="1">
      <alignment horizontal="center" wrapText="1"/>
    </xf>
    <xf numFmtId="0" fontId="52" fillId="6" borderId="0" xfId="32" applyFont="1" applyFill="1" applyAlignment="1">
      <alignment wrapText="1"/>
    </xf>
    <xf numFmtId="0" fontId="37" fillId="0" borderId="0" xfId="32" applyFont="1" applyFill="1" applyAlignment="1">
      <alignment wrapText="1"/>
    </xf>
    <xf numFmtId="0" fontId="2" fillId="6" borderId="0" xfId="59" applyFont="1" applyFill="1"/>
    <xf numFmtId="0" fontId="2" fillId="0" borderId="0" xfId="32" applyFont="1" applyFill="1" applyAlignment="1">
      <alignment wrapText="1"/>
    </xf>
    <xf numFmtId="184" fontId="2" fillId="0" borderId="0" xfId="59" applyNumberFormat="1" applyFont="1" applyAlignment="1">
      <alignment horizontal="right" wrapText="1"/>
    </xf>
    <xf numFmtId="0" fontId="2" fillId="6" borderId="0" xfId="32" applyFont="1" applyFill="1" applyAlignment="1">
      <alignment wrapText="1"/>
    </xf>
    <xf numFmtId="183" fontId="2" fillId="6" borderId="0" xfId="59" applyNumberFormat="1" applyFont="1" applyFill="1"/>
    <xf numFmtId="0" fontId="68" fillId="0" borderId="4" xfId="59" applyFont="1" applyBorder="1" applyAlignment="1"/>
    <xf numFmtId="0" fontId="68" fillId="0" borderId="4" xfId="59" applyFont="1" applyBorder="1"/>
    <xf numFmtId="0" fontId="70" fillId="0" borderId="0" xfId="59" applyFont="1" applyAlignment="1">
      <alignment horizontal="left"/>
    </xf>
    <xf numFmtId="0" fontId="33" fillId="0" borderId="4" xfId="59" applyFont="1" applyFill="1" applyBorder="1" applyAlignment="1">
      <alignment horizontal="right" vertical="center" wrapText="1"/>
    </xf>
    <xf numFmtId="3" fontId="109" fillId="0" borderId="0" xfId="29" applyNumberFormat="1" applyFont="1" applyBorder="1" applyAlignment="1">
      <alignment horizontal="right" wrapText="1"/>
    </xf>
    <xf numFmtId="3" fontId="37" fillId="0" borderId="0" xfId="29" applyNumberFormat="1" applyFont="1" applyBorder="1" applyAlignment="1">
      <alignment horizontal="right" wrapText="1"/>
    </xf>
    <xf numFmtId="0" fontId="32" fillId="0" borderId="0" xfId="29" applyFont="1" applyFill="1" applyBorder="1" applyAlignment="1">
      <alignment horizontal="center" vertical="center"/>
    </xf>
    <xf numFmtId="0" fontId="32" fillId="0" borderId="0" xfId="29" applyFont="1" applyFill="1" applyBorder="1" applyAlignment="1">
      <alignment horizontal="center" vertical="top"/>
    </xf>
    <xf numFmtId="0" fontId="110" fillId="0" borderId="0" xfId="29" applyFont="1" applyFill="1" applyBorder="1" applyAlignment="1">
      <alignment horizontal="center" vertical="top"/>
    </xf>
    <xf numFmtId="169" fontId="58" fillId="0" borderId="4" xfId="29" applyNumberFormat="1" applyFont="1" applyBorder="1" applyAlignment="1">
      <alignment wrapText="1"/>
    </xf>
    <xf numFmtId="169" fontId="58" fillId="0" borderId="4" xfId="29" applyNumberFormat="1" applyFont="1" applyBorder="1" applyAlignment="1">
      <alignment horizontal="right" wrapText="1" indent="1"/>
    </xf>
    <xf numFmtId="0" fontId="68" fillId="0" borderId="4" xfId="61" applyFont="1" applyBorder="1" applyAlignment="1">
      <alignment vertical="top" wrapText="1"/>
    </xf>
    <xf numFmtId="0" fontId="2" fillId="0" borderId="4" xfId="59" applyFont="1" applyBorder="1" applyAlignment="1">
      <alignment horizontal="right"/>
    </xf>
    <xf numFmtId="0" fontId="105" fillId="0" borderId="4" xfId="61" applyFont="1" applyBorder="1" applyAlignment="1">
      <alignment vertical="top" wrapText="1"/>
    </xf>
    <xf numFmtId="0" fontId="105" fillId="0" borderId="4" xfId="59" applyFont="1" applyBorder="1"/>
    <xf numFmtId="0" fontId="33" fillId="0" borderId="4" xfId="59" applyFont="1" applyBorder="1" applyAlignment="1">
      <alignment horizontal="center" vertical="center" wrapText="1"/>
    </xf>
    <xf numFmtId="0" fontId="4" fillId="0" borderId="10" xfId="27" applyFont="1" applyFill="1" applyBorder="1" applyAlignment="1">
      <alignment horizontal="center" wrapText="1"/>
    </xf>
    <xf numFmtId="0" fontId="4" fillId="0" borderId="10" xfId="27" applyFont="1" applyBorder="1" applyAlignment="1">
      <alignment horizontal="center"/>
    </xf>
    <xf numFmtId="0" fontId="4" fillId="0" borderId="10" xfId="27" applyFont="1" applyBorder="1" applyAlignment="1">
      <alignment horizontal="center" wrapText="1"/>
    </xf>
    <xf numFmtId="0" fontId="0" fillId="0" borderId="0" xfId="0" applyFill="1" applyBorder="1"/>
    <xf numFmtId="3" fontId="51" fillId="0" borderId="0" xfId="32" applyNumberFormat="1" applyFont="1" applyAlignment="1">
      <alignment horizontal="right"/>
    </xf>
    <xf numFmtId="169" fontId="107" fillId="0" borderId="0" xfId="59" applyNumberFormat="1" applyFont="1" applyAlignment="1">
      <alignment horizontal="right" wrapText="1"/>
    </xf>
    <xf numFmtId="169" fontId="105" fillId="0" borderId="0" xfId="59" applyNumberFormat="1" applyFont="1" applyAlignment="1">
      <alignment horizontal="right" wrapText="1"/>
    </xf>
    <xf numFmtId="167" fontId="105" fillId="0" borderId="0" xfId="60" applyNumberFormat="1" applyFont="1" applyAlignment="1">
      <alignment horizontal="right" wrapText="1"/>
    </xf>
    <xf numFmtId="186" fontId="105" fillId="0" borderId="0" xfId="60" applyNumberFormat="1" applyFont="1" applyAlignment="1">
      <alignment horizontal="right" wrapText="1"/>
    </xf>
    <xf numFmtId="0" fontId="2" fillId="0" borderId="0" xfId="28" applyFont="1" applyBorder="1" applyAlignment="1">
      <alignment wrapText="1"/>
    </xf>
    <xf numFmtId="0" fontId="110" fillId="0" borderId="0" xfId="28" applyFont="1" applyBorder="1" applyAlignment="1">
      <alignment horizontal="center"/>
    </xf>
    <xf numFmtId="0" fontId="110" fillId="0" borderId="0" xfId="28" applyFont="1" applyBorder="1" applyAlignment="1">
      <alignment wrapText="1"/>
    </xf>
    <xf numFmtId="0" fontId="113" fillId="0" borderId="0" xfId="28" applyFont="1"/>
    <xf numFmtId="0" fontId="38" fillId="0" borderId="0" xfId="27" applyFont="1" applyFill="1" applyBorder="1" applyAlignment="1">
      <alignment horizontal="center" wrapText="1"/>
    </xf>
    <xf numFmtId="0" fontId="38" fillId="0" borderId="0" xfId="27" applyFont="1" applyBorder="1" applyAlignment="1">
      <alignment horizontal="center" wrapText="1"/>
    </xf>
    <xf numFmtId="0" fontId="2" fillId="0" borderId="0" xfId="28" applyFont="1" applyBorder="1" applyAlignment="1"/>
    <xf numFmtId="0" fontId="2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2" fillId="0" borderId="0" xfId="59" applyFont="1" applyAlignment="1">
      <alignment horizontal="center"/>
    </xf>
    <xf numFmtId="184" fontId="62" fillId="0" borderId="0" xfId="59" applyNumberFormat="1" applyFont="1" applyFill="1"/>
    <xf numFmtId="184" fontId="61" fillId="0" borderId="0" xfId="59" applyNumberFormat="1" applyFont="1"/>
    <xf numFmtId="0" fontId="2" fillId="0" borderId="0" xfId="59" applyFont="1" applyAlignment="1"/>
    <xf numFmtId="167" fontId="2" fillId="0" borderId="0" xfId="60" applyNumberFormat="1" applyFont="1" applyAlignment="1"/>
    <xf numFmtId="0" fontId="32" fillId="0" borderId="0" xfId="32" applyFont="1" applyFill="1" applyAlignment="1"/>
    <xf numFmtId="183" fontId="2" fillId="0" borderId="0" xfId="59" applyNumberFormat="1" applyFont="1" applyFill="1" applyAlignment="1"/>
    <xf numFmtId="0" fontId="31" fillId="0" borderId="0" xfId="32" applyFont="1" applyFill="1" applyAlignment="1"/>
    <xf numFmtId="3" fontId="2" fillId="0" borderId="0" xfId="59" applyNumberFormat="1" applyFont="1" applyAlignment="1">
      <alignment horizontal="right" wrapText="1"/>
    </xf>
    <xf numFmtId="0" fontId="37" fillId="6" borderId="0" xfId="32" applyFont="1" applyFill="1" applyAlignment="1"/>
    <xf numFmtId="0" fontId="32" fillId="6" borderId="0" xfId="32" applyFont="1" applyFill="1" applyAlignment="1"/>
    <xf numFmtId="41" fontId="2" fillId="0" borderId="0" xfId="59" applyNumberFormat="1" applyFont="1" applyAlignment="1">
      <alignment horizontal="right" wrapText="1"/>
    </xf>
    <xf numFmtId="0" fontId="31" fillId="0" borderId="0" xfId="32" applyFont="1" applyFill="1" applyAlignment="1">
      <alignment wrapText="1"/>
    </xf>
    <xf numFmtId="0" fontId="4" fillId="0" borderId="2" xfId="62" applyFont="1" applyBorder="1" applyAlignment="1">
      <alignment horizontal="center" vertical="center" wrapText="1"/>
    </xf>
    <xf numFmtId="169" fontId="114" fillId="0" borderId="0" xfId="59" applyNumberFormat="1" applyFont="1" applyAlignment="1">
      <alignment horizontal="right" wrapText="1"/>
    </xf>
    <xf numFmtId="186" fontId="114" fillId="0" borderId="0" xfId="60" applyNumberFormat="1" applyFont="1" applyAlignment="1">
      <alignment horizontal="right" wrapText="1"/>
    </xf>
    <xf numFmtId="0" fontId="33" fillId="0" borderId="4" xfId="59" applyFont="1" applyBorder="1" applyAlignment="1">
      <alignment horizontal="right" vertical="center" wrapText="1"/>
    </xf>
    <xf numFmtId="0" fontId="33" fillId="0" borderId="4" xfId="59" applyFont="1" applyBorder="1" applyAlignment="1">
      <alignment horizontal="right" vertical="center" wrapText="1"/>
    </xf>
    <xf numFmtId="0" fontId="33" fillId="0" borderId="4" xfId="59" applyFont="1" applyFill="1" applyBorder="1" applyAlignment="1">
      <alignment horizontal="right" vertical="center" wrapText="1"/>
    </xf>
    <xf numFmtId="0" fontId="33" fillId="0" borderId="0" xfId="59" applyFont="1" applyAlignment="1">
      <alignment horizontal="center"/>
    </xf>
    <xf numFmtId="0" fontId="33" fillId="0" borderId="4" xfId="59" applyFont="1" applyFill="1" applyBorder="1" applyAlignment="1">
      <alignment horizontal="right" vertical="center" wrapText="1"/>
    </xf>
    <xf numFmtId="0" fontId="32" fillId="0" borderId="0" xfId="59" applyFont="1" applyAlignment="1">
      <alignment horizontal="center"/>
    </xf>
    <xf numFmtId="184" fontId="61" fillId="0" borderId="0" xfId="59" applyNumberFormat="1" applyFont="1" applyFill="1"/>
    <xf numFmtId="3" fontId="2" fillId="0" borderId="0" xfId="29" applyNumberFormat="1" applyFont="1" applyBorder="1" applyAlignment="1">
      <alignment horizontal="right" wrapText="1"/>
    </xf>
    <xf numFmtId="169" fontId="38" fillId="0" borderId="0" xfId="29" applyNumberFormat="1" applyFont="1" applyBorder="1" applyAlignment="1">
      <alignment wrapText="1"/>
    </xf>
    <xf numFmtId="169" fontId="38" fillId="0" borderId="0" xfId="29" applyNumberFormat="1" applyFont="1" applyBorder="1" applyAlignment="1">
      <alignment horizontal="right" wrapText="1" indent="1"/>
    </xf>
    <xf numFmtId="0" fontId="2" fillId="0" borderId="0" xfId="62" applyFont="1"/>
    <xf numFmtId="0" fontId="36" fillId="0" borderId="0" xfId="62" applyNumberFormat="1" applyFont="1" applyAlignment="1"/>
    <xf numFmtId="0" fontId="36" fillId="0" borderId="0" xfId="62" applyNumberFormat="1" applyFont="1" applyAlignment="1">
      <alignment horizontal="left"/>
    </xf>
    <xf numFmtId="0" fontId="2" fillId="0" borderId="4" xfId="62" applyFont="1" applyBorder="1"/>
    <xf numFmtId="0" fontId="62" fillId="0" borderId="0" xfId="62" applyFont="1" applyAlignment="1">
      <alignment horizontal="center"/>
    </xf>
    <xf numFmtId="3" fontId="62" fillId="0" borderId="0" xfId="59" applyNumberFormat="1" applyFont="1" applyAlignment="1">
      <alignment horizontal="right"/>
    </xf>
    <xf numFmtId="0" fontId="2" fillId="0" borderId="0" xfId="62" applyFont="1" applyFill="1" applyBorder="1" applyAlignment="1">
      <alignment horizontal="left" indent="1"/>
    </xf>
    <xf numFmtId="186" fontId="2" fillId="0" borderId="0" xfId="60" applyNumberFormat="1" applyFont="1" applyBorder="1"/>
    <xf numFmtId="0" fontId="36" fillId="0" borderId="0" xfId="62" applyNumberFormat="1" applyFont="1" applyBorder="1" applyAlignment="1">
      <alignment horizontal="left"/>
    </xf>
    <xf numFmtId="0" fontId="2" fillId="0" borderId="0" xfId="62" applyFont="1" applyBorder="1"/>
    <xf numFmtId="0" fontId="33" fillId="0" borderId="0" xfId="62" applyFont="1" applyAlignment="1">
      <alignment horizontal="center"/>
    </xf>
    <xf numFmtId="184" fontId="33" fillId="0" borderId="0" xfId="59" applyNumberFormat="1" applyFont="1" applyAlignment="1">
      <alignment horizontal="right"/>
    </xf>
    <xf numFmtId="0" fontId="2" fillId="0" borderId="0" xfId="62" applyFont="1" applyAlignment="1">
      <alignment horizontal="left" indent="1"/>
    </xf>
    <xf numFmtId="186" fontId="2" fillId="0" borderId="0" xfId="60" applyNumberFormat="1" applyFont="1"/>
    <xf numFmtId="0" fontId="2" fillId="0" borderId="0" xfId="62" applyFont="1" applyAlignment="1">
      <alignment horizontal="left" indent="2"/>
    </xf>
    <xf numFmtId="0" fontId="2" fillId="0" borderId="0" xfId="62" applyFont="1" applyFill="1" applyAlignment="1">
      <alignment horizontal="left" indent="1"/>
    </xf>
    <xf numFmtId="0" fontId="2" fillId="0" borderId="4" xfId="62" applyFont="1" applyFill="1" applyBorder="1" applyAlignment="1">
      <alignment horizontal="left" indent="1"/>
    </xf>
    <xf numFmtId="186" fontId="2" fillId="0" borderId="4" xfId="60" applyNumberFormat="1" applyFont="1" applyBorder="1"/>
    <xf numFmtId="0" fontId="2" fillId="0" borderId="0" xfId="61" applyFont="1" applyBorder="1" applyAlignment="1">
      <alignment vertical="top" wrapText="1"/>
    </xf>
    <xf numFmtId="3" fontId="33" fillId="0" borderId="0" xfId="59" applyNumberFormat="1" applyFont="1" applyBorder="1" applyAlignment="1">
      <alignment horizontal="right" vertical="center" wrapText="1"/>
    </xf>
    <xf numFmtId="0" fontId="2" fillId="0" borderId="0" xfId="59" applyFont="1" applyBorder="1" applyAlignment="1"/>
    <xf numFmtId="0" fontId="2" fillId="0" borderId="0" xfId="61" applyFont="1" applyBorder="1" applyAlignment="1">
      <alignment horizontal="right" vertical="top" wrapText="1"/>
    </xf>
    <xf numFmtId="0" fontId="2" fillId="0" borderId="0" xfId="59" applyFont="1" applyAlignment="1">
      <alignment horizontal="left"/>
    </xf>
    <xf numFmtId="3" fontId="2" fillId="0" borderId="0" xfId="59" applyNumberFormat="1" applyFont="1" applyAlignment="1">
      <alignment horizontal="center" vertical="center" wrapText="1"/>
    </xf>
    <xf numFmtId="3" fontId="62" fillId="0" borderId="0" xfId="59" applyNumberFormat="1" applyFont="1" applyAlignment="1">
      <alignment horizontal="right" wrapText="1"/>
    </xf>
    <xf numFmtId="0" fontId="2" fillId="0" borderId="0" xfId="62" applyFont="1" applyAlignment="1"/>
    <xf numFmtId="3" fontId="2" fillId="0" borderId="0" xfId="32" applyNumberFormat="1" applyFont="1" applyAlignment="1">
      <alignment horizontal="right"/>
    </xf>
    <xf numFmtId="0" fontId="116" fillId="0" borderId="0" xfId="62" applyFont="1"/>
    <xf numFmtId="184" fontId="105" fillId="0" borderId="0" xfId="59" applyNumberFormat="1" applyFont="1" applyAlignment="1">
      <alignment horizontal="right" wrapText="1"/>
    </xf>
    <xf numFmtId="0" fontId="36" fillId="0" borderId="0" xfId="0" applyNumberFormat="1" applyFont="1" applyAlignment="1">
      <alignment horizontal="left"/>
    </xf>
    <xf numFmtId="0" fontId="33" fillId="0" borderId="4" xfId="0" applyFont="1" applyFill="1" applyBorder="1"/>
    <xf numFmtId="183" fontId="62" fillId="0" borderId="0" xfId="0" applyNumberFormat="1" applyFont="1"/>
    <xf numFmtId="183" fontId="61" fillId="0" borderId="0" xfId="32" applyNumberFormat="1" applyFont="1" applyFill="1" applyAlignment="1">
      <alignment wrapText="1"/>
    </xf>
    <xf numFmtId="0" fontId="118" fillId="0" borderId="0" xfId="29" applyFont="1"/>
    <xf numFmtId="0" fontId="118" fillId="0" borderId="0" xfId="29" applyFont="1" applyAlignment="1">
      <alignment vertical="center"/>
    </xf>
    <xf numFmtId="0" fontId="119" fillId="0" borderId="0" xfId="29" applyFont="1" applyAlignment="1">
      <alignment vertical="center"/>
    </xf>
    <xf numFmtId="0" fontId="119" fillId="0" borderId="0" xfId="29" applyFont="1"/>
    <xf numFmtId="3" fontId="119" fillId="0" borderId="0" xfId="29" applyNumberFormat="1" applyFont="1"/>
    <xf numFmtId="184" fontId="119" fillId="0" borderId="0" xfId="29" applyNumberFormat="1" applyFont="1" applyBorder="1" applyAlignment="1">
      <alignment horizontal="right" wrapText="1"/>
    </xf>
    <xf numFmtId="0" fontId="119" fillId="0" borderId="0" xfId="29" applyFont="1" applyBorder="1"/>
    <xf numFmtId="169" fontId="119" fillId="0" borderId="0" xfId="29" applyNumberFormat="1" applyFont="1" applyBorder="1" applyAlignment="1">
      <alignment horizontal="right" wrapText="1" indent="1"/>
    </xf>
    <xf numFmtId="0" fontId="119" fillId="0" borderId="0" xfId="29" applyFont="1" applyBorder="1" applyAlignment="1">
      <alignment horizontal="center" wrapText="1"/>
    </xf>
    <xf numFmtId="0" fontId="33" fillId="0" borderId="0" xfId="59" applyFont="1" applyBorder="1" applyAlignment="1">
      <alignment vertical="center" wrapText="1"/>
    </xf>
    <xf numFmtId="0" fontId="33" fillId="0" borderId="4" xfId="59" applyFont="1" applyBorder="1" applyAlignment="1">
      <alignment horizontal="right" vertical="center" wrapText="1"/>
    </xf>
    <xf numFmtId="0" fontId="33" fillId="0" borderId="4" xfId="59" applyFont="1" applyFill="1" applyBorder="1" applyAlignment="1">
      <alignment horizontal="right" vertical="center" wrapText="1"/>
    </xf>
    <xf numFmtId="184" fontId="62" fillId="0" borderId="0" xfId="59" applyNumberFormat="1" applyFont="1" applyAlignment="1">
      <alignment horizontal="right" wrapText="1"/>
    </xf>
    <xf numFmtId="184" fontId="61" fillId="0" borderId="0" xfId="59" applyNumberFormat="1" applyFont="1" applyAlignment="1">
      <alignment horizontal="right" wrapText="1"/>
    </xf>
    <xf numFmtId="0" fontId="2" fillId="0" borderId="0" xfId="32" applyFont="1" applyAlignment="1">
      <alignment wrapText="1"/>
    </xf>
    <xf numFmtId="183" fontId="2" fillId="0" borderId="0" xfId="32" applyNumberFormat="1" applyFont="1" applyAlignment="1">
      <alignment horizontal="right"/>
    </xf>
    <xf numFmtId="185" fontId="2" fillId="0" borderId="0" xfId="32" applyNumberFormat="1" applyFont="1" applyAlignment="1">
      <alignment horizontal="right"/>
    </xf>
    <xf numFmtId="0" fontId="2" fillId="0" borderId="0" xfId="32" applyFont="1" applyAlignment="1"/>
    <xf numFmtId="0" fontId="2" fillId="0" borderId="0" xfId="32" applyFont="1" applyFill="1" applyAlignment="1"/>
    <xf numFmtId="185" fontId="2" fillId="6" borderId="0" xfId="32" applyNumberFormat="1" applyFont="1" applyFill="1" applyAlignment="1">
      <alignment horizontal="right"/>
    </xf>
    <xf numFmtId="0" fontId="2" fillId="6" borderId="0" xfId="32" applyFont="1" applyFill="1" applyAlignment="1"/>
    <xf numFmtId="183" fontId="2" fillId="6" borderId="0" xfId="32" applyNumberFormat="1" applyFont="1" applyFill="1" applyAlignment="1">
      <alignment horizontal="right"/>
    </xf>
    <xf numFmtId="41" fontId="2" fillId="0" borderId="0" xfId="32" applyNumberFormat="1" applyFont="1" applyAlignment="1">
      <alignment horizontal="right" wrapText="1"/>
    </xf>
    <xf numFmtId="49" fontId="2" fillId="0" borderId="0" xfId="32" quotePrefix="1" applyNumberFormat="1" applyFont="1" applyFill="1" applyAlignment="1">
      <alignment wrapText="1"/>
    </xf>
    <xf numFmtId="184" fontId="120" fillId="0" borderId="0" xfId="59" applyNumberFormat="1" applyFont="1"/>
    <xf numFmtId="184" fontId="121" fillId="0" borderId="0" xfId="59" applyNumberFormat="1" applyFont="1"/>
    <xf numFmtId="167" fontId="121" fillId="0" borderId="0" xfId="60" applyNumberFormat="1" applyFont="1"/>
    <xf numFmtId="184" fontId="120" fillId="0" borderId="0" xfId="59" applyNumberFormat="1" applyFont="1" applyFill="1"/>
    <xf numFmtId="186" fontId="121" fillId="0" borderId="0" xfId="60" applyNumberFormat="1" applyFont="1"/>
    <xf numFmtId="0" fontId="32" fillId="0" borderId="0" xfId="59" applyFont="1" applyAlignment="1">
      <alignment horizontal="center"/>
    </xf>
    <xf numFmtId="185" fontId="2" fillId="0" borderId="0" xfId="59" applyNumberFormat="1" applyFont="1"/>
    <xf numFmtId="0" fontId="33" fillId="0" borderId="4" xfId="59" applyFont="1" applyFill="1" applyBorder="1" applyAlignment="1">
      <alignment horizontal="right" vertical="center" wrapText="1"/>
    </xf>
    <xf numFmtId="0" fontId="33" fillId="0" borderId="4" xfId="59" applyFont="1" applyBorder="1" applyAlignment="1">
      <alignment horizontal="right" vertical="center" wrapText="1"/>
    </xf>
    <xf numFmtId="3" fontId="51" fillId="0" borderId="0" xfId="32" applyNumberFormat="1" applyFont="1" applyAlignment="1">
      <alignment horizontal="right" wrapText="1"/>
    </xf>
    <xf numFmtId="3" fontId="42" fillId="0" borderId="0" xfId="32" applyNumberFormat="1" applyFont="1" applyAlignment="1">
      <alignment horizontal="right" wrapText="1"/>
    </xf>
    <xf numFmtId="167" fontId="38" fillId="0" borderId="0" xfId="60" applyNumberFormat="1" applyFont="1" applyAlignment="1">
      <alignment horizontal="right" wrapText="1"/>
    </xf>
    <xf numFmtId="167" fontId="50" fillId="0" borderId="0" xfId="60" applyNumberFormat="1" applyFont="1" applyAlignment="1">
      <alignment horizontal="right" wrapText="1"/>
    </xf>
    <xf numFmtId="183" fontId="2" fillId="0" borderId="0" xfId="32" applyNumberFormat="1" applyFont="1" applyFill="1" applyAlignment="1">
      <alignment horizontal="right"/>
    </xf>
    <xf numFmtId="185" fontId="62" fillId="0" borderId="0" xfId="0" applyNumberFormat="1" applyFont="1"/>
    <xf numFmtId="0" fontId="69" fillId="0" borderId="0" xfId="59" applyFont="1" applyAlignment="1">
      <alignment horizontal="left" wrapText="1"/>
    </xf>
    <xf numFmtId="0" fontId="103" fillId="0" borderId="0" xfId="59" applyFont="1" applyAlignment="1">
      <alignment wrapText="1"/>
    </xf>
    <xf numFmtId="0" fontId="47" fillId="0" borderId="0" xfId="24" applyFont="1" applyAlignment="1">
      <alignment horizontal="center"/>
    </xf>
    <xf numFmtId="0" fontId="7" fillId="0" borderId="0" xfId="31" applyFont="1" applyBorder="1" applyAlignment="1">
      <alignment horizontal="center"/>
    </xf>
    <xf numFmtId="0" fontId="35" fillId="0" borderId="0" xfId="31" applyFont="1" applyBorder="1" applyAlignment="1">
      <alignment horizontal="center"/>
    </xf>
    <xf numFmtId="0" fontId="7" fillId="0" borderId="0" xfId="59" applyFont="1" applyAlignment="1">
      <alignment horizontal="left" wrapText="1"/>
    </xf>
    <xf numFmtId="0" fontId="69" fillId="0" borderId="0" xfId="59" applyFont="1" applyAlignment="1">
      <alignment horizontal="left" wrapText="1"/>
    </xf>
    <xf numFmtId="0" fontId="62" fillId="0" borderId="7" xfId="0" applyFont="1" applyBorder="1" applyAlignment="1">
      <alignment horizontal="center" wrapText="1"/>
    </xf>
    <xf numFmtId="0" fontId="62" fillId="0" borderId="0" xfId="34" applyFont="1" applyAlignment="1">
      <alignment horizontal="center"/>
    </xf>
    <xf numFmtId="0" fontId="37" fillId="0" borderId="2" xfId="29" applyNumberFormat="1" applyFont="1" applyFill="1" applyBorder="1" applyAlignment="1">
      <alignment horizontal="center" vertical="center" wrapText="1"/>
    </xf>
    <xf numFmtId="0" fontId="37" fillId="0" borderId="2" xfId="29" applyFont="1" applyFill="1" applyBorder="1" applyAlignment="1">
      <alignment horizontal="center" vertical="center" wrapText="1"/>
    </xf>
    <xf numFmtId="0" fontId="42" fillId="0" borderId="0" xfId="29" applyNumberFormat="1" applyFont="1" applyBorder="1" applyAlignment="1">
      <alignment horizontal="center"/>
    </xf>
    <xf numFmtId="0" fontId="42" fillId="0" borderId="0" xfId="29" applyNumberFormat="1" applyFont="1" applyBorder="1" applyAlignment="1">
      <alignment horizontal="center" wrapText="1"/>
    </xf>
    <xf numFmtId="0" fontId="42" fillId="0" borderId="0" xfId="29" applyFont="1" applyBorder="1" applyAlignment="1">
      <alignment horizontal="center" wrapText="1"/>
    </xf>
    <xf numFmtId="0" fontId="72" fillId="0" borderId="0" xfId="59" applyFont="1" applyAlignment="1">
      <alignment horizontal="left" wrapText="1"/>
    </xf>
    <xf numFmtId="0" fontId="73" fillId="0" borderId="0" xfId="59" applyFont="1" applyAlignment="1">
      <alignment horizontal="left" vertical="center" wrapText="1"/>
    </xf>
    <xf numFmtId="0" fontId="117" fillId="0" borderId="0" xfId="62" applyFont="1" applyAlignment="1">
      <alignment horizontal="left" wrapText="1"/>
    </xf>
    <xf numFmtId="0" fontId="7" fillId="0" borderId="0" xfId="62" applyFont="1" applyAlignment="1">
      <alignment horizontal="left" wrapText="1"/>
    </xf>
    <xf numFmtId="0" fontId="33" fillId="0" borderId="7" xfId="62" applyFont="1" applyBorder="1" applyAlignment="1">
      <alignment horizontal="center"/>
    </xf>
    <xf numFmtId="0" fontId="33" fillId="0" borderId="0" xfId="59" applyFont="1" applyFill="1" applyBorder="1" applyAlignment="1">
      <alignment horizontal="right" vertical="center" wrapText="1"/>
    </xf>
    <xf numFmtId="0" fontId="33" fillId="0" borderId="4" xfId="59" applyFont="1" applyFill="1" applyBorder="1" applyAlignment="1">
      <alignment horizontal="right" vertical="center" wrapText="1"/>
    </xf>
    <xf numFmtId="0" fontId="70" fillId="0" borderId="0" xfId="59" applyFont="1" applyAlignment="1">
      <alignment horizontal="left" wrapText="1"/>
    </xf>
    <xf numFmtId="0" fontId="69" fillId="0" borderId="0" xfId="59" applyFont="1" applyAlignment="1">
      <alignment wrapText="1"/>
    </xf>
    <xf numFmtId="0" fontId="33" fillId="0" borderId="0" xfId="62" applyFont="1" applyAlignment="1">
      <alignment horizontal="left" wrapText="1"/>
    </xf>
    <xf numFmtId="0" fontId="4" fillId="0" borderId="0" xfId="62" applyFont="1" applyBorder="1" applyAlignment="1">
      <alignment horizontal="center" vertical="center" wrapText="1"/>
    </xf>
    <xf numFmtId="0" fontId="4" fillId="0" borderId="4" xfId="62" applyFont="1" applyBorder="1" applyAlignment="1">
      <alignment horizontal="center" vertical="center" wrapText="1"/>
    </xf>
    <xf numFmtId="0" fontId="4" fillId="0" borderId="4" xfId="62" applyFont="1" applyBorder="1" applyAlignment="1">
      <alignment horizontal="center" vertical="center"/>
    </xf>
    <xf numFmtId="0" fontId="33" fillId="0" borderId="0" xfId="59" applyFont="1" applyAlignment="1">
      <alignment horizontal="center"/>
    </xf>
    <xf numFmtId="0" fontId="32" fillId="0" borderId="0" xfId="59" applyFont="1" applyAlignment="1">
      <alignment horizontal="center"/>
    </xf>
    <xf numFmtId="0" fontId="101" fillId="0" borderId="0" xfId="59" applyFont="1" applyAlignment="1">
      <alignment horizontal="left" wrapText="1"/>
    </xf>
  </cellXfs>
  <cellStyles count="169">
    <cellStyle name="_x0001_" xfId="63"/>
    <cellStyle name="??" xfId="64"/>
    <cellStyle name="?? [0.00]_PRODUCT DETAIL Q1" xfId="65"/>
    <cellStyle name="?? [0]" xfId="66"/>
    <cellStyle name="???? [0.00]_PRODUCT DETAIL Q1" xfId="67"/>
    <cellStyle name="????_PRODUCT DETAIL Q1" xfId="68"/>
    <cellStyle name="???[0]_Book1" xfId="69"/>
    <cellStyle name="???_95" xfId="70"/>
    <cellStyle name="??_(????)??????" xfId="71"/>
    <cellStyle name="_00.Bia" xfId="72"/>
    <cellStyle name="_01.NGTT2009-DVHC" xfId="73"/>
    <cellStyle name="_02 dan so (OK)" xfId="74"/>
    <cellStyle name="_02.NGTT2009-DSLD" xfId="75"/>
    <cellStyle name="_02.NGTT2009-DSLDok" xfId="76"/>
    <cellStyle name="_03.NGTT2009-TKQG" xfId="77"/>
    <cellStyle name="_07. NGTT2009-NN" xfId="78"/>
    <cellStyle name="_07. NGTT2009-NN_Book3" xfId="79"/>
    <cellStyle name="_07. NGTT2009-NN_Book3_Nien giam day du  Nong nghiep 2010" xfId="80"/>
    <cellStyle name="_07. NGTT2009-NN_Book4" xfId="81"/>
    <cellStyle name="_07. NGTT2009-NN_Lam nghiep, thuy san 2010 (ok)" xfId="82"/>
    <cellStyle name="_07. NGTT2009-NN_Nien giam day du  Nong nghiep 2010" xfId="83"/>
    <cellStyle name="_09.GD-Yte_TT_MSDC2008" xfId="84"/>
    <cellStyle name="_09.GD-Yte_TT_MSDC2008_Nien giam day du  Nong nghiep 2010" xfId="85"/>
    <cellStyle name="_10.Bieuthegioi-tan_NGTT2008(1)" xfId="86"/>
    <cellStyle name="_10.Bieuthegioi-tan_NGTT2008(1)_Book3" xfId="87"/>
    <cellStyle name="_10.Bieuthegioi-tan_NGTT2008(1)_Book3_Nien giam day du  Nong nghiep 2010" xfId="88"/>
    <cellStyle name="_10.Bieuthegioi-tan_NGTT2008(1)_Book4" xfId="89"/>
    <cellStyle name="_10.Bieuthegioi-tan_NGTT2008(1)_Lam nghiep, thuy san 2010 (ok)" xfId="90"/>
    <cellStyle name="_10.Bieuthegioi-tan_NGTT2008(1)_Nien giam day du  Nong nghiep 2010" xfId="91"/>
    <cellStyle name="_15.Quoc te" xfId="92"/>
    <cellStyle name="_Book2" xfId="93"/>
    <cellStyle name="_Book2_Nien giam day du  Nong nghiep 2010" xfId="94"/>
    <cellStyle name="_Book4" xfId="95"/>
    <cellStyle name="_Doi Ngheo(TV)" xfId="96"/>
    <cellStyle name="_KT (2)" xfId="97"/>
    <cellStyle name="_KT (2)_1" xfId="98"/>
    <cellStyle name="_KT (2)_2" xfId="99"/>
    <cellStyle name="_KT (2)_2_TG-TH" xfId="100"/>
    <cellStyle name="_KT (2)_3" xfId="101"/>
    <cellStyle name="_KT (2)_3_TG-TH" xfId="102"/>
    <cellStyle name="_KT (2)_4" xfId="103"/>
    <cellStyle name="_KT (2)_4_TG-TH" xfId="104"/>
    <cellStyle name="_KT (2)_5" xfId="105"/>
    <cellStyle name="_KT (2)_TG-TH" xfId="106"/>
    <cellStyle name="_KT_TG" xfId="107"/>
    <cellStyle name="_KT_TG_1" xfId="108"/>
    <cellStyle name="_KT_TG_2" xfId="109"/>
    <cellStyle name="_KT_TG_3" xfId="110"/>
    <cellStyle name="_KT_TG_4" xfId="111"/>
    <cellStyle name="_TG-TH" xfId="112"/>
    <cellStyle name="_TG-TH_1" xfId="113"/>
    <cellStyle name="_TG-TH_2" xfId="114"/>
    <cellStyle name="_TG-TH_3" xfId="115"/>
    <cellStyle name="_TG-TH_4" xfId="116"/>
    <cellStyle name="1" xfId="117"/>
    <cellStyle name="1_Book3" xfId="118"/>
    <cellStyle name="1_Book3_Nien giam day du  Nong nghiep 2010" xfId="119"/>
    <cellStyle name="1_Book4" xfId="120"/>
    <cellStyle name="1_Lam nghiep, thuy san 2010" xfId="121"/>
    <cellStyle name="1_Lam nghiep, thuy san 2010 (ok)" xfId="122"/>
    <cellStyle name="1_Lam nghiep, thuy san 2010_Nien giam day du  Nong nghiep 2010" xfId="123"/>
    <cellStyle name="1_Nien giam day du  Nong nghiep 2010" xfId="124"/>
    <cellStyle name="¹éºÐÀ²_      " xfId="125"/>
    <cellStyle name="ÅëÈ­ [0]_      " xfId="126"/>
    <cellStyle name="ÅëÈ­_      " xfId="127"/>
    <cellStyle name="AeE­_INQUIRY ¿?¾÷AßAø " xfId="128"/>
    <cellStyle name="ÅëÈ­_L601CPT" xfId="129"/>
    <cellStyle name="ÄÞ¸¶ [0]_      " xfId="130"/>
    <cellStyle name="AÞ¸¶ [0]_INQUIRY ¿?¾÷AßAø " xfId="131"/>
    <cellStyle name="ÄÞ¸¶_      " xfId="132"/>
    <cellStyle name="AÞ¸¶_INQUIRY ¿?¾÷AßAø " xfId="133"/>
    <cellStyle name="AutoFormat Options" xfId="134"/>
    <cellStyle name="C?AØ_¿?¾÷CoE² " xfId="135"/>
    <cellStyle name="Ç¥ÁØ_      " xfId="136"/>
    <cellStyle name="category" xfId="137"/>
    <cellStyle name="Cerrency_Sheet2_XANGDAU" xfId="138"/>
    <cellStyle name="Comma 11 3" xfId="139"/>
    <cellStyle name="Comma 2" xfId="60"/>
    <cellStyle name="Comma 34" xfId="140"/>
    <cellStyle name="comma zerodec" xfId="1"/>
    <cellStyle name="Comma0" xfId="2"/>
    <cellStyle name="cong" xfId="141"/>
    <cellStyle name="Currency0" xfId="3"/>
    <cellStyle name="Currency1" xfId="4"/>
    <cellStyle name="Date" xfId="5"/>
    <cellStyle name="DAUDE" xfId="142"/>
    <cellStyle name="Dollar (zero dec)" xfId="6"/>
    <cellStyle name="Fixed" xfId="7"/>
    <cellStyle name="Grey" xfId="8"/>
    <cellStyle name="gia" xfId="143"/>
    <cellStyle name="HEADER" xfId="144"/>
    <cellStyle name="Header1" xfId="9"/>
    <cellStyle name="Header2" xfId="10"/>
    <cellStyle name="Heading 1" xfId="11" builtinId="16" customBuiltin="1"/>
    <cellStyle name="Heading 2" xfId="12" builtinId="17" customBuiltin="1"/>
    <cellStyle name="HEADING1" xfId="13"/>
    <cellStyle name="HEADING2" xfId="14"/>
    <cellStyle name="Input" xfId="15" builtinId="20" customBuiltin="1"/>
    <cellStyle name="Input [yellow]" xfId="16"/>
    <cellStyle name="Model" xfId="145"/>
    <cellStyle name="Monétaire [0]_TARIFFS DB" xfId="17"/>
    <cellStyle name="Monétaire_TARIFFS DB" xfId="18"/>
    <cellStyle name="n" xfId="146"/>
    <cellStyle name="New Times Roman" xfId="19"/>
    <cellStyle name="No" xfId="20"/>
    <cellStyle name="no dec" xfId="21"/>
    <cellStyle name="No_Book3" xfId="147"/>
    <cellStyle name="Normal" xfId="0" builtinId="0"/>
    <cellStyle name="Normal - Style1" xfId="22"/>
    <cellStyle name="Normal 13" xfId="23"/>
    <cellStyle name="Normal 13 2 2" xfId="24"/>
    <cellStyle name="Normal 13 2 3" xfId="25"/>
    <cellStyle name="Normal 156" xfId="26"/>
    <cellStyle name="Normal 16" xfId="148"/>
    <cellStyle name="Normal 2" xfId="59"/>
    <cellStyle name="Normal 2 2" xfId="62"/>
    <cellStyle name="Normal 2 6" xfId="27"/>
    <cellStyle name="Normal 3" xfId="149"/>
    <cellStyle name="Normal 4" xfId="150"/>
    <cellStyle name="Normal 8" xfId="151"/>
    <cellStyle name="Normal_10MuclucNien Giam" xfId="28"/>
    <cellStyle name="Normal_CN 2005" xfId="61"/>
    <cellStyle name="Normal_Copy of 08.1 Thuong mai  2011  (ok) NGDĐ da vao so lieu" xfId="29"/>
    <cellStyle name="Normal_Du lich" xfId="30"/>
    <cellStyle name="Normal_MaketNGTK_Cuoicung3.12.2007" xfId="31"/>
    <cellStyle name="Normal_NG chinh thuc 2005 Hue" xfId="32"/>
    <cellStyle name="Normal_NGTK- dulich(market)" xfId="33"/>
    <cellStyle name="Normal_Van Tai05" xfId="34"/>
    <cellStyle name="Percent [2]" xfId="35"/>
    <cellStyle name="Style 1" xfId="152"/>
    <cellStyle name="Style 10" xfId="153"/>
    <cellStyle name="Style 2" xfId="154"/>
    <cellStyle name="style 3" xfId="36"/>
    <cellStyle name="Style 4" xfId="155"/>
    <cellStyle name="Style 5" xfId="156"/>
    <cellStyle name="Style 6" xfId="157"/>
    <cellStyle name="Style 7" xfId="158"/>
    <cellStyle name="Style 8" xfId="159"/>
    <cellStyle name="Style 9" xfId="160"/>
    <cellStyle name="Style1" xfId="37"/>
    <cellStyle name="Style2" xfId="38"/>
    <cellStyle name="Style3" xfId="39"/>
    <cellStyle name="Style4" xfId="40"/>
    <cellStyle name="Style5" xfId="41"/>
    <cellStyle name="Style6" xfId="42"/>
    <cellStyle name="Style7" xfId="43"/>
    <cellStyle name="subhead" xfId="161"/>
    <cellStyle name="Total" xfId="44" builtinId="25" customBuiltin="1"/>
    <cellStyle name="thvt" xfId="162"/>
    <cellStyle name=" [0.00]_ Att. 1- Cover" xfId="163"/>
    <cellStyle name="_ Att. 1- Cover" xfId="164"/>
    <cellStyle name="?_ Att. 1- Cover" xfId="165"/>
    <cellStyle name="똿뗦먛귟 [0.00]_PRODUCT DETAIL Q1" xfId="45"/>
    <cellStyle name="똿뗦먛귟_PRODUCT DETAIL Q1" xfId="46"/>
    <cellStyle name="믅됞 [0.00]_PRODUCT DETAIL Q1" xfId="47"/>
    <cellStyle name="믅됞_PRODUCT DETAIL Q1" xfId="48"/>
    <cellStyle name="백분율_95" xfId="49"/>
    <cellStyle name="뷭?_BOOKSHIP" xfId="50"/>
    <cellStyle name="콤마 [0]_1202" xfId="52"/>
    <cellStyle name="콤마_1202" xfId="53"/>
    <cellStyle name="통화 [0]_1202" xfId="54"/>
    <cellStyle name="통화_1202" xfId="55"/>
    <cellStyle name="표준_(정보부문)월별인원계획" xfId="56"/>
    <cellStyle name="一般_99Q3647-ALL-CAS2" xfId="166"/>
    <cellStyle name="千分位[0]_Book1" xfId="51"/>
    <cellStyle name="千分位_99Q3647-ALL-CAS2" xfId="167"/>
    <cellStyle name="貨幣 [0]_Book1" xfId="57"/>
    <cellStyle name="貨幣[0]_BRE" xfId="168"/>
    <cellStyle name="貨幣_Book1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0</xdr:col>
      <xdr:colOff>676275</xdr:colOff>
      <xdr:row>7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525" y="2400300"/>
          <a:ext cx="666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41</a:t>
          </a:r>
        </a:p>
      </xdr:txBody>
    </xdr:sp>
    <xdr:clientData/>
  </xdr:twoCellAnchor>
  <xdr:twoCellAnchor>
    <xdr:from>
      <xdr:col>0</xdr:col>
      <xdr:colOff>9525</xdr:colOff>
      <xdr:row>7</xdr:row>
      <xdr:rowOff>0</xdr:rowOff>
    </xdr:from>
    <xdr:to>
      <xdr:col>0</xdr:col>
      <xdr:colOff>904875</xdr:colOff>
      <xdr:row>7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525" y="2400300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238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0</xdr:rowOff>
    </xdr:from>
    <xdr:to>
      <xdr:col>0</xdr:col>
      <xdr:colOff>904875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525" y="4829175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238</a:t>
          </a:r>
        </a:p>
      </xdr:txBody>
    </xdr:sp>
    <xdr:clientData/>
  </xdr:twoCellAnchor>
  <xdr:twoCellAnchor>
    <xdr:from>
      <xdr:col>0</xdr:col>
      <xdr:colOff>28575</xdr:colOff>
      <xdr:row>21</xdr:row>
      <xdr:rowOff>0</xdr:rowOff>
    </xdr:from>
    <xdr:to>
      <xdr:col>0</xdr:col>
      <xdr:colOff>914400</xdr:colOff>
      <xdr:row>21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575" y="4829175"/>
          <a:ext cx="885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251</a:t>
          </a:r>
        </a:p>
        <a:p>
          <a:pPr algn="l" rtl="1">
            <a:defRPr sz="1000"/>
          </a:pPr>
          <a:endParaRPr lang="en-US" sz="4000" b="1" i="0" strike="noStrike">
            <a:solidFill>
              <a:srgbClr val="000000"/>
            </a:solidFill>
            <a:latin typeface=".VnArial NarrowH"/>
          </a:endParaRPr>
        </a:p>
      </xdr:txBody>
    </xdr:sp>
    <xdr:clientData/>
  </xdr:twoCellAnchor>
  <xdr:twoCellAnchor>
    <xdr:from>
      <xdr:col>0</xdr:col>
      <xdr:colOff>9525</xdr:colOff>
      <xdr:row>21</xdr:row>
      <xdr:rowOff>0</xdr:rowOff>
    </xdr:from>
    <xdr:to>
      <xdr:col>0</xdr:col>
      <xdr:colOff>904875</xdr:colOff>
      <xdr:row>21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9525" y="4829175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238</a:t>
          </a:r>
        </a:p>
      </xdr:txBody>
    </xdr:sp>
    <xdr:clientData/>
  </xdr:twoCellAnchor>
  <xdr:twoCellAnchor>
    <xdr:from>
      <xdr:col>0</xdr:col>
      <xdr:colOff>28575</xdr:colOff>
      <xdr:row>21</xdr:row>
      <xdr:rowOff>0</xdr:rowOff>
    </xdr:from>
    <xdr:to>
      <xdr:col>0</xdr:col>
      <xdr:colOff>914400</xdr:colOff>
      <xdr:row>21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8575" y="4829175"/>
          <a:ext cx="885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251</a:t>
          </a:r>
        </a:p>
        <a:p>
          <a:pPr algn="l" rtl="1">
            <a:defRPr sz="1000"/>
          </a:pPr>
          <a:endParaRPr lang="en-US" sz="4000" b="1" i="0" strike="noStrike">
            <a:solidFill>
              <a:srgbClr val="000000"/>
            </a:solidFill>
            <a:latin typeface=".VnArial NarrowH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0</xdr:rowOff>
    </xdr:from>
    <xdr:to>
      <xdr:col>0</xdr:col>
      <xdr:colOff>676275</xdr:colOff>
      <xdr:row>23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25" y="13144500"/>
          <a:ext cx="666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41</a:t>
          </a:r>
        </a:p>
      </xdr:txBody>
    </xdr:sp>
    <xdr:clientData/>
  </xdr:twoCellAnchor>
  <xdr:twoCellAnchor>
    <xdr:from>
      <xdr:col>0</xdr:col>
      <xdr:colOff>9525</xdr:colOff>
      <xdr:row>23</xdr:row>
      <xdr:rowOff>0</xdr:rowOff>
    </xdr:from>
    <xdr:to>
      <xdr:col>0</xdr:col>
      <xdr:colOff>676275</xdr:colOff>
      <xdr:row>23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525" y="13144500"/>
          <a:ext cx="666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41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885825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9050" y="0"/>
          <a:ext cx="86677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150</a:t>
          </a:r>
        </a:p>
      </xdr:txBody>
    </xdr:sp>
    <xdr:clientData/>
  </xdr:twoCellAnchor>
  <xdr:twoCellAnchor>
    <xdr:from>
      <xdr:col>0</xdr:col>
      <xdr:colOff>9525</xdr:colOff>
      <xdr:row>55</xdr:row>
      <xdr:rowOff>0</xdr:rowOff>
    </xdr:from>
    <xdr:to>
      <xdr:col>0</xdr:col>
      <xdr:colOff>676275</xdr:colOff>
      <xdr:row>55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525" y="6391275"/>
          <a:ext cx="666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41</a:t>
          </a:r>
        </a:p>
      </xdr:txBody>
    </xdr:sp>
    <xdr:clientData/>
  </xdr:twoCellAnchor>
  <xdr:twoCellAnchor>
    <xdr:from>
      <xdr:col>0</xdr:col>
      <xdr:colOff>9525</xdr:colOff>
      <xdr:row>25</xdr:row>
      <xdr:rowOff>0</xdr:rowOff>
    </xdr:from>
    <xdr:to>
      <xdr:col>0</xdr:col>
      <xdr:colOff>904875</xdr:colOff>
      <xdr:row>25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525" y="3724275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238</a:t>
          </a:r>
        </a:p>
      </xdr:txBody>
    </xdr:sp>
    <xdr:clientData/>
  </xdr:twoCellAnchor>
  <xdr:twoCellAnchor>
    <xdr:from>
      <xdr:col>0</xdr:col>
      <xdr:colOff>28575</xdr:colOff>
      <xdr:row>25</xdr:row>
      <xdr:rowOff>0</xdr:rowOff>
    </xdr:from>
    <xdr:to>
      <xdr:col>0</xdr:col>
      <xdr:colOff>914400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575" y="3724275"/>
          <a:ext cx="885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86868" rIns="0" bIns="0" anchor="t" upright="1"/>
        <a:lstStyle/>
        <a:p>
          <a:pPr algn="l" rtl="1">
            <a:defRPr sz="1000"/>
          </a:pPr>
          <a:r>
            <a:rPr lang="en-US" sz="4000" b="1" i="0" strike="noStrike">
              <a:solidFill>
                <a:srgbClr val="000000"/>
              </a:solidFill>
              <a:latin typeface=".VnArial NarrowH"/>
            </a:rPr>
            <a:t>251</a:t>
          </a:r>
        </a:p>
        <a:p>
          <a:pPr algn="l" rtl="1">
            <a:defRPr sz="1000"/>
          </a:pPr>
          <a:endParaRPr lang="en-US" sz="4000" b="1" i="0" strike="noStrike">
            <a:solidFill>
              <a:srgbClr val="000000"/>
            </a:solidFill>
            <a:latin typeface=".VnArial NarrowH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D16" sqref="D16"/>
    </sheetView>
  </sheetViews>
  <sheetFormatPr defaultRowHeight="12.75"/>
  <cols>
    <col min="1" max="1" width="97.85546875" customWidth="1"/>
  </cols>
  <sheetData>
    <row r="1" spans="1:3" ht="15">
      <c r="A1" s="55"/>
    </row>
    <row r="2" spans="1:3" ht="20.25">
      <c r="A2" s="56"/>
    </row>
    <row r="16" spans="1:3" s="1" customFormat="1" ht="30.75" customHeight="1">
      <c r="A16" s="121" t="s">
        <v>17</v>
      </c>
      <c r="B16" s="119"/>
      <c r="C16" s="3"/>
    </row>
    <row r="17" spans="1:3" s="1" customFormat="1" ht="25.5" customHeight="1">
      <c r="A17" s="122" t="s">
        <v>18</v>
      </c>
      <c r="B17" s="120"/>
      <c r="C17" s="3"/>
    </row>
  </sheetData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workbookViewId="0">
      <selection activeCell="I13" sqref="I13"/>
    </sheetView>
  </sheetViews>
  <sheetFormatPr defaultColWidth="8" defaultRowHeight="12.75"/>
  <cols>
    <col min="1" max="1" width="38.140625" style="8" customWidth="1"/>
    <col min="2" max="2" width="8.7109375" style="8" customWidth="1"/>
    <col min="3" max="7" width="9.28515625" style="8" customWidth="1"/>
    <col min="8" max="16384" width="8" style="8"/>
  </cols>
  <sheetData>
    <row r="1" spans="1:7" ht="18" customHeight="1">
      <c r="A1" s="230" t="s">
        <v>413</v>
      </c>
      <c r="B1" s="40"/>
      <c r="C1" s="40"/>
      <c r="D1" s="40"/>
      <c r="E1" s="40"/>
      <c r="F1" s="40"/>
      <c r="G1" s="40"/>
    </row>
    <row r="2" spans="1:7" ht="18" customHeight="1">
      <c r="A2" s="83" t="s">
        <v>97</v>
      </c>
      <c r="B2" s="40"/>
      <c r="C2" s="40"/>
      <c r="D2" s="40"/>
      <c r="E2" s="40"/>
      <c r="F2" s="40"/>
      <c r="G2" s="40"/>
    </row>
    <row r="3" spans="1:7" ht="18" customHeight="1">
      <c r="A3" s="84"/>
      <c r="B3" s="40"/>
      <c r="C3" s="40"/>
      <c r="D3" s="40"/>
      <c r="E3" s="40"/>
      <c r="F3" s="40"/>
      <c r="G3" s="40"/>
    </row>
    <row r="4" spans="1:7" ht="18" customHeight="1">
      <c r="A4" s="83"/>
      <c r="B4" s="40"/>
      <c r="C4" s="40"/>
      <c r="D4" s="40"/>
      <c r="E4" s="40"/>
      <c r="F4" s="40"/>
      <c r="G4" s="40"/>
    </row>
    <row r="5" spans="1:7" ht="18" customHeight="1">
      <c r="A5" s="9"/>
      <c r="B5" s="40"/>
      <c r="G5" s="58" t="s">
        <v>93</v>
      </c>
    </row>
    <row r="6" spans="1:7" ht="27" customHeight="1">
      <c r="A6" s="10"/>
      <c r="B6" s="62">
        <v>2016</v>
      </c>
      <c r="C6" s="62">
        <v>2017</v>
      </c>
      <c r="D6" s="62">
        <v>2018</v>
      </c>
      <c r="E6" s="62">
        <v>2019</v>
      </c>
      <c r="F6" s="62">
        <v>2020</v>
      </c>
      <c r="G6" s="62">
        <v>2021</v>
      </c>
    </row>
    <row r="7" spans="1:7" ht="18" customHeight="1">
      <c r="A7" s="10"/>
      <c r="B7" s="12"/>
      <c r="C7" s="11"/>
      <c r="D7" s="11"/>
      <c r="E7" s="11"/>
      <c r="F7" s="11"/>
      <c r="G7" s="11"/>
    </row>
    <row r="8" spans="1:7" ht="26.25" customHeight="1">
      <c r="A8" s="85" t="s">
        <v>9</v>
      </c>
      <c r="B8" s="86">
        <f t="shared" ref="B8:C8" si="0">+B10+B11+B12</f>
        <v>109</v>
      </c>
      <c r="C8" s="86">
        <f t="shared" si="0"/>
        <v>109</v>
      </c>
      <c r="D8" s="86">
        <v>110</v>
      </c>
      <c r="E8" s="86">
        <v>110</v>
      </c>
      <c r="F8" s="86">
        <v>110</v>
      </c>
      <c r="G8" s="86">
        <v>110</v>
      </c>
    </row>
    <row r="9" spans="1:7" ht="26.25" customHeight="1">
      <c r="A9" s="87" t="s">
        <v>13</v>
      </c>
      <c r="B9" s="88"/>
      <c r="C9" s="88"/>
      <c r="D9" s="88"/>
      <c r="E9" s="88"/>
      <c r="F9" s="88"/>
      <c r="G9" s="88"/>
    </row>
    <row r="10" spans="1:7" ht="26.25" customHeight="1">
      <c r="A10" s="89" t="s">
        <v>10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</row>
    <row r="11" spans="1:7" ht="26.25" customHeight="1">
      <c r="A11" s="89" t="s">
        <v>11</v>
      </c>
      <c r="B11" s="88">
        <v>3</v>
      </c>
      <c r="C11" s="88">
        <v>3</v>
      </c>
      <c r="D11" s="88">
        <v>3</v>
      </c>
      <c r="E11" s="88">
        <v>3</v>
      </c>
      <c r="F11" s="88">
        <v>3</v>
      </c>
      <c r="G11" s="88">
        <v>3</v>
      </c>
    </row>
    <row r="12" spans="1:7" ht="26.25" customHeight="1">
      <c r="A12" s="89" t="s">
        <v>12</v>
      </c>
      <c r="B12" s="88">
        <v>106</v>
      </c>
      <c r="C12" s="88">
        <v>106</v>
      </c>
      <c r="D12" s="88">
        <v>107</v>
      </c>
      <c r="E12" s="88">
        <v>107</v>
      </c>
      <c r="F12" s="88">
        <v>107</v>
      </c>
      <c r="G12" s="88">
        <v>107</v>
      </c>
    </row>
    <row r="13" spans="1:7">
      <c r="A13" s="9"/>
      <c r="B13" s="9"/>
      <c r="C13" s="9"/>
      <c r="D13" s="9"/>
      <c r="E13" s="9"/>
      <c r="F13" s="9"/>
      <c r="G13" s="9"/>
    </row>
  </sheetData>
  <phoneticPr fontId="29" type="noConversion"/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>
    <oddFooter xml:space="preserve">&amp;L       &amp;12Thương mại và Du lịch - Trade and Tourism&amp;R&amp;12&amp;P+378      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opLeftCell="A25" workbookViewId="0">
      <selection activeCell="J12" sqref="J12"/>
    </sheetView>
  </sheetViews>
  <sheetFormatPr defaultRowHeight="12.75"/>
  <cols>
    <col min="1" max="1" width="38.85546875" customWidth="1"/>
    <col min="2" max="7" width="8.5703125" customWidth="1"/>
  </cols>
  <sheetData>
    <row r="1" spans="1:7" ht="19.5" customHeight="1">
      <c r="A1" s="73" t="s">
        <v>414</v>
      </c>
      <c r="B1" s="75"/>
      <c r="C1" s="75"/>
      <c r="D1" s="75"/>
      <c r="E1" s="75"/>
      <c r="F1" s="75"/>
      <c r="G1" s="75"/>
    </row>
    <row r="2" spans="1:7" ht="19.5" customHeight="1">
      <c r="A2" s="73" t="s">
        <v>429</v>
      </c>
      <c r="B2" s="75"/>
      <c r="C2" s="75"/>
      <c r="D2" s="75"/>
      <c r="E2" s="75"/>
      <c r="F2" s="75"/>
      <c r="G2" s="75"/>
    </row>
    <row r="3" spans="1:7" ht="19.5" customHeight="1">
      <c r="A3" s="91" t="s">
        <v>85</v>
      </c>
      <c r="B3" s="75"/>
      <c r="C3" s="75"/>
      <c r="D3" s="75"/>
      <c r="E3" s="75"/>
      <c r="F3" s="75"/>
      <c r="G3" s="75"/>
    </row>
    <row r="4" spans="1:7" ht="19.5" customHeight="1">
      <c r="A4" s="91" t="s">
        <v>86</v>
      </c>
      <c r="B4" s="75"/>
      <c r="C4" s="75"/>
      <c r="D4" s="75"/>
      <c r="E4" s="75"/>
      <c r="F4" s="75"/>
      <c r="G4" s="75"/>
    </row>
    <row r="5" spans="1:7" ht="19.5" customHeight="1">
      <c r="A5" s="91"/>
      <c r="B5" s="75"/>
      <c r="C5" s="75"/>
      <c r="D5" s="75"/>
      <c r="E5" s="75"/>
      <c r="F5" s="75"/>
      <c r="G5" s="75"/>
    </row>
    <row r="6" spans="1:7" ht="19.5" customHeight="1">
      <c r="A6" s="75"/>
      <c r="B6" s="58"/>
      <c r="C6" s="75"/>
      <c r="D6" s="75"/>
      <c r="E6" s="75"/>
      <c r="F6" s="75"/>
      <c r="G6" s="75"/>
    </row>
    <row r="7" spans="1:7" ht="29.25" customHeight="1">
      <c r="A7" s="57"/>
      <c r="B7" s="62">
        <v>2016</v>
      </c>
      <c r="C7" s="62">
        <v>2017</v>
      </c>
      <c r="D7" s="62">
        <v>2018</v>
      </c>
      <c r="E7" s="62">
        <v>2019</v>
      </c>
      <c r="F7" s="62">
        <v>2020</v>
      </c>
      <c r="G7" s="62">
        <v>2021</v>
      </c>
    </row>
    <row r="8" spans="1:7" ht="15" customHeight="1">
      <c r="A8" s="75"/>
      <c r="B8" s="75"/>
      <c r="C8" s="75"/>
      <c r="D8" s="75"/>
      <c r="E8" s="75"/>
      <c r="F8" s="75"/>
      <c r="G8" s="75"/>
    </row>
    <row r="9" spans="1:7" ht="27" customHeight="1">
      <c r="A9" s="78" t="s">
        <v>74</v>
      </c>
      <c r="B9" s="92">
        <f t="shared" ref="B9:C9" si="0">+B12+B13+B14</f>
        <v>8</v>
      </c>
      <c r="C9" s="92">
        <f t="shared" si="0"/>
        <v>11</v>
      </c>
      <c r="D9" s="92">
        <v>11</v>
      </c>
      <c r="E9" s="92">
        <v>11</v>
      </c>
      <c r="F9" s="92">
        <f>SUM(F12:F14)</f>
        <v>36</v>
      </c>
      <c r="G9" s="92">
        <f>SUM(G12:G14)</f>
        <v>36</v>
      </c>
    </row>
    <row r="10" spans="1:7" ht="27" customHeight="1">
      <c r="A10" s="77" t="s">
        <v>80</v>
      </c>
      <c r="B10" s="75"/>
      <c r="C10" s="75"/>
      <c r="D10" s="75"/>
      <c r="E10" s="75"/>
      <c r="F10" s="75"/>
      <c r="G10" s="75"/>
    </row>
    <row r="11" spans="1:7" ht="27" customHeight="1">
      <c r="A11" s="77" t="s">
        <v>81</v>
      </c>
      <c r="B11" s="75"/>
      <c r="C11" s="75"/>
      <c r="D11" s="75"/>
      <c r="E11" s="75"/>
      <c r="F11" s="75"/>
      <c r="G11" s="75"/>
    </row>
    <row r="12" spans="1:7" ht="27" customHeight="1">
      <c r="A12" s="80" t="s">
        <v>1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</row>
    <row r="13" spans="1:7" ht="27" customHeight="1">
      <c r="A13" s="80" t="s">
        <v>2</v>
      </c>
      <c r="B13" s="75">
        <v>6</v>
      </c>
      <c r="C13" s="75">
        <v>9</v>
      </c>
      <c r="D13" s="306">
        <v>9</v>
      </c>
      <c r="E13" s="306">
        <v>9</v>
      </c>
      <c r="F13" s="306">
        <f>32+1</f>
        <v>33</v>
      </c>
      <c r="G13" s="306">
        <v>33</v>
      </c>
    </row>
    <row r="14" spans="1:7" ht="27" customHeight="1">
      <c r="A14" s="80" t="s">
        <v>6</v>
      </c>
      <c r="B14" s="75">
        <v>2</v>
      </c>
      <c r="C14" s="75">
        <v>2</v>
      </c>
      <c r="D14" s="306">
        <v>2</v>
      </c>
      <c r="E14" s="306">
        <v>2</v>
      </c>
      <c r="F14" s="306">
        <f>2+1</f>
        <v>3</v>
      </c>
      <c r="G14" s="306">
        <v>3</v>
      </c>
    </row>
    <row r="15" spans="1:7" ht="27" customHeight="1">
      <c r="A15" s="81" t="s">
        <v>7</v>
      </c>
      <c r="B15" s="75"/>
      <c r="C15" s="75"/>
      <c r="D15" s="75"/>
      <c r="E15" s="75"/>
      <c r="F15" s="75"/>
      <c r="G15" s="75"/>
    </row>
    <row r="16" spans="1:7" ht="27" customHeight="1">
      <c r="A16" s="77" t="s">
        <v>71</v>
      </c>
      <c r="B16" s="75"/>
      <c r="C16" s="75"/>
      <c r="D16" s="75"/>
      <c r="E16" s="75"/>
      <c r="F16" s="75"/>
      <c r="G16" s="75"/>
    </row>
    <row r="17" spans="1:7" ht="27" customHeight="1">
      <c r="A17" s="94" t="s">
        <v>107</v>
      </c>
      <c r="B17" s="75">
        <v>6</v>
      </c>
      <c r="C17" s="75">
        <v>9</v>
      </c>
      <c r="D17" s="306">
        <v>9</v>
      </c>
      <c r="E17" s="306">
        <v>9</v>
      </c>
      <c r="F17" s="306">
        <v>34</v>
      </c>
      <c r="G17" s="306">
        <v>34</v>
      </c>
    </row>
    <row r="18" spans="1:7" ht="27" customHeight="1">
      <c r="A18" s="94" t="s">
        <v>108</v>
      </c>
      <c r="B18" s="75">
        <v>2</v>
      </c>
      <c r="C18" s="75">
        <v>2</v>
      </c>
      <c r="D18" s="306">
        <v>2</v>
      </c>
      <c r="E18" s="306">
        <v>2</v>
      </c>
      <c r="F18" s="306">
        <v>2</v>
      </c>
      <c r="G18" s="306">
        <v>2</v>
      </c>
    </row>
    <row r="19" spans="1:7" ht="15" customHeight="1">
      <c r="A19" s="61"/>
      <c r="B19" s="61"/>
      <c r="C19" s="61"/>
      <c r="D19" s="61"/>
      <c r="E19" s="61"/>
      <c r="F19" s="61"/>
      <c r="G19" s="61"/>
    </row>
    <row r="20" spans="1:7" ht="15" customHeight="1"/>
    <row r="21" spans="1:7" ht="15" customHeight="1"/>
    <row r="22" spans="1:7" ht="15" customHeight="1"/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</sheetData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>
    <oddFooter xml:space="preserve">&amp;L       &amp;12Thương mại và Du lịch - Trade and Tourism&amp;R&amp;12&amp;P+378     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2" workbookViewId="0">
      <selection activeCell="C3" sqref="C1:R1048576"/>
    </sheetView>
  </sheetViews>
  <sheetFormatPr defaultColWidth="10.28515625" defaultRowHeight="15"/>
  <cols>
    <col min="1" max="1" width="32.42578125" style="153" customWidth="1"/>
    <col min="2" max="2" width="11" style="153" customWidth="1"/>
    <col min="3" max="3" width="7.42578125" style="153" customWidth="1"/>
    <col min="4" max="5" width="8.5703125" style="153" customWidth="1"/>
    <col min="6" max="6" width="8.7109375" style="153" customWidth="1"/>
    <col min="7" max="8" width="7.7109375" style="153" customWidth="1"/>
    <col min="9" max="16384" width="10.28515625" style="153"/>
  </cols>
  <sheetData>
    <row r="1" spans="1:8" s="148" customFormat="1" ht="29.1" customHeight="1">
      <c r="A1" s="440" t="s">
        <v>415</v>
      </c>
      <c r="B1" s="440"/>
    </row>
    <row r="2" spans="1:8" s="148" customFormat="1" ht="21" customHeight="1">
      <c r="A2" s="441" t="s">
        <v>244</v>
      </c>
      <c r="B2" s="441"/>
    </row>
    <row r="3" spans="1:8" s="148" customFormat="1" ht="18.95" customHeight="1">
      <c r="A3" s="298"/>
      <c r="B3" s="298"/>
      <c r="C3" s="288"/>
      <c r="D3" s="288"/>
      <c r="E3" s="288"/>
      <c r="F3" s="288"/>
      <c r="G3" s="288"/>
      <c r="H3" s="288"/>
    </row>
    <row r="4" spans="1:8" s="235" customFormat="1" ht="14.25" customHeight="1">
      <c r="A4" s="368"/>
      <c r="B4" s="182" t="s">
        <v>167</v>
      </c>
      <c r="C4" s="438">
        <v>2016</v>
      </c>
      <c r="D4" s="438">
        <v>2017</v>
      </c>
      <c r="E4" s="438">
        <v>2018</v>
      </c>
      <c r="F4" s="438">
        <v>2019</v>
      </c>
      <c r="G4" s="438">
        <v>2020</v>
      </c>
      <c r="H4" s="438">
        <v>2021</v>
      </c>
    </row>
    <row r="5" spans="1:8" s="235" customFormat="1" ht="11.25" customHeight="1">
      <c r="A5" s="150"/>
      <c r="B5" s="183" t="s">
        <v>168</v>
      </c>
      <c r="C5" s="439"/>
      <c r="D5" s="439"/>
      <c r="E5" s="439"/>
      <c r="F5" s="439"/>
      <c r="G5" s="439"/>
      <c r="H5" s="439"/>
    </row>
    <row r="6" spans="1:8" s="235" customFormat="1" ht="10.5" customHeight="1">
      <c r="A6" s="263"/>
      <c r="B6" s="263"/>
    </row>
    <row r="7" spans="1:8" s="235" customFormat="1" ht="18" customHeight="1">
      <c r="A7" s="184" t="s">
        <v>169</v>
      </c>
      <c r="B7" s="265" t="s">
        <v>170</v>
      </c>
      <c r="C7" s="186">
        <v>423</v>
      </c>
      <c r="D7" s="186">
        <v>463</v>
      </c>
      <c r="E7" s="186">
        <v>571</v>
      </c>
      <c r="F7" s="186">
        <v>653</v>
      </c>
      <c r="G7" s="186">
        <v>689</v>
      </c>
      <c r="H7" s="186">
        <v>695</v>
      </c>
    </row>
    <row r="8" spans="1:8" s="235" customFormat="1" ht="18" customHeight="1">
      <c r="A8" s="187" t="s">
        <v>171</v>
      </c>
      <c r="B8" s="342" t="s">
        <v>168</v>
      </c>
    </row>
    <row r="9" spans="1:8" s="235" customFormat="1" ht="18" customHeight="1">
      <c r="A9" s="187" t="s">
        <v>172</v>
      </c>
      <c r="B9" s="265"/>
    </row>
    <row r="10" spans="1:8" s="235" customFormat="1" ht="18" customHeight="1">
      <c r="A10" s="235" t="s">
        <v>173</v>
      </c>
      <c r="B10" s="265" t="s">
        <v>174</v>
      </c>
      <c r="C10" s="235">
        <v>81</v>
      </c>
      <c r="D10" s="235">
        <f>3+1+62+26</f>
        <v>92</v>
      </c>
      <c r="E10" s="235">
        <f>75+25</f>
        <v>100</v>
      </c>
      <c r="F10" s="235">
        <f>83+18</f>
        <v>101</v>
      </c>
      <c r="G10" s="235">
        <f>104+18</f>
        <v>122</v>
      </c>
      <c r="H10" s="235">
        <v>121</v>
      </c>
    </row>
    <row r="11" spans="1:8" s="235" customFormat="1" ht="18" customHeight="1">
      <c r="A11" s="369" t="s">
        <v>175</v>
      </c>
      <c r="B11" s="265" t="s">
        <v>174</v>
      </c>
      <c r="C11" s="235">
        <v>223</v>
      </c>
      <c r="D11" s="235">
        <v>234</v>
      </c>
      <c r="E11" s="235">
        <v>240</v>
      </c>
      <c r="F11" s="235">
        <v>288</v>
      </c>
      <c r="G11" s="235">
        <v>377</v>
      </c>
      <c r="H11" s="235">
        <v>302</v>
      </c>
    </row>
    <row r="12" spans="1:8" s="190" customFormat="1" ht="18" customHeight="1">
      <c r="A12" s="190" t="s">
        <v>176</v>
      </c>
      <c r="B12" s="370" t="s">
        <v>177</v>
      </c>
      <c r="C12" s="186">
        <v>5797</v>
      </c>
      <c r="D12" s="186">
        <v>5999</v>
      </c>
      <c r="E12" s="186">
        <v>6914</v>
      </c>
      <c r="F12" s="186">
        <v>7935</v>
      </c>
      <c r="G12" s="186">
        <v>8508</v>
      </c>
      <c r="H12" s="186">
        <v>8638</v>
      </c>
    </row>
    <row r="13" spans="1:8" s="235" customFormat="1" ht="18" customHeight="1">
      <c r="A13" s="191" t="s">
        <v>178</v>
      </c>
      <c r="B13" s="342" t="s">
        <v>179</v>
      </c>
    </row>
    <row r="14" spans="1:8" s="235" customFormat="1" ht="18" customHeight="1">
      <c r="A14" s="191" t="s">
        <v>172</v>
      </c>
      <c r="B14" s="342"/>
    </row>
    <row r="15" spans="1:8" s="235" customFormat="1" ht="18" customHeight="1">
      <c r="A15" s="235" t="s">
        <v>173</v>
      </c>
      <c r="B15" s="265" t="s">
        <v>174</v>
      </c>
      <c r="C15" s="329">
        <v>2891</v>
      </c>
      <c r="D15" s="329">
        <f>452+102+1579+964</f>
        <v>3097</v>
      </c>
      <c r="E15" s="329">
        <f>2462+881</f>
        <v>3343</v>
      </c>
      <c r="F15" s="329">
        <f>2821+538</f>
        <v>3359</v>
      </c>
      <c r="G15" s="329">
        <f>3521+305</f>
        <v>3826</v>
      </c>
      <c r="H15" s="329">
        <v>3848</v>
      </c>
    </row>
    <row r="16" spans="1:8" s="235" customFormat="1" ht="18" customHeight="1">
      <c r="A16" s="369" t="s">
        <v>175</v>
      </c>
      <c r="B16" s="265" t="s">
        <v>174</v>
      </c>
      <c r="C16" s="329">
        <v>2112</v>
      </c>
      <c r="D16" s="329">
        <v>2056</v>
      </c>
      <c r="E16" s="329">
        <v>2073</v>
      </c>
      <c r="F16" s="329">
        <v>2656</v>
      </c>
      <c r="G16" s="329">
        <v>3239</v>
      </c>
      <c r="H16" s="329">
        <v>2771</v>
      </c>
    </row>
    <row r="17" spans="1:8" s="235" customFormat="1" ht="18" customHeight="1">
      <c r="A17" s="184" t="s">
        <v>180</v>
      </c>
      <c r="B17" s="265" t="s">
        <v>466</v>
      </c>
      <c r="C17" s="192">
        <v>9.42</v>
      </c>
      <c r="D17" s="192">
        <v>9.69</v>
      </c>
      <c r="E17" s="192">
        <v>11.04</v>
      </c>
      <c r="F17" s="192">
        <v>12.723000000000001</v>
      </c>
      <c r="G17" s="192">
        <v>13.68</v>
      </c>
      <c r="H17" s="192">
        <v>13.85</v>
      </c>
    </row>
    <row r="18" spans="1:8" s="235" customFormat="1" ht="18" customHeight="1">
      <c r="A18" s="187" t="s">
        <v>181</v>
      </c>
      <c r="B18" s="342" t="s">
        <v>182</v>
      </c>
      <c r="C18" s="192"/>
      <c r="D18" s="192"/>
      <c r="E18" s="192"/>
      <c r="F18" s="192"/>
      <c r="G18" s="192"/>
      <c r="H18" s="192"/>
    </row>
    <row r="19" spans="1:8" s="235" customFormat="1" ht="18" customHeight="1">
      <c r="A19" s="191" t="s">
        <v>172</v>
      </c>
    </row>
    <row r="20" spans="1:8" s="235" customFormat="1" ht="18" customHeight="1">
      <c r="A20" s="235" t="s">
        <v>173</v>
      </c>
      <c r="B20" s="265" t="s">
        <v>174</v>
      </c>
      <c r="C20" s="239">
        <v>5.27</v>
      </c>
      <c r="D20" s="239">
        <f>0.64+0.15+3.05+1.61</f>
        <v>5.45</v>
      </c>
      <c r="E20" s="239">
        <f>4.49+1.45</f>
        <v>5.94</v>
      </c>
      <c r="F20" s="239">
        <f>4.908+1.001</f>
        <v>5.9090000000000007</v>
      </c>
      <c r="G20" s="239">
        <f>6.08+0.53</f>
        <v>6.61</v>
      </c>
      <c r="H20" s="239">
        <v>6.59</v>
      </c>
    </row>
    <row r="21" spans="1:8" s="235" customFormat="1" ht="18" customHeight="1">
      <c r="A21" s="369" t="s">
        <v>175</v>
      </c>
      <c r="B21" s="265" t="s">
        <v>174</v>
      </c>
      <c r="C21" s="239">
        <v>3.04</v>
      </c>
      <c r="D21" s="239">
        <v>3.03</v>
      </c>
      <c r="E21" s="239">
        <v>2.93</v>
      </c>
      <c r="F21" s="239">
        <v>3.7669999999999999</v>
      </c>
      <c r="G21" s="239">
        <v>4.72</v>
      </c>
      <c r="H21" s="239">
        <v>3.99</v>
      </c>
    </row>
    <row r="22" spans="1:8" s="235" customFormat="1" ht="18" customHeight="1">
      <c r="A22" s="190" t="s">
        <v>467</v>
      </c>
      <c r="B22" s="265" t="s">
        <v>427</v>
      </c>
      <c r="C22" s="193">
        <f t="shared" ref="C22:H22" si="0">SUM(C24:C25)</f>
        <v>6500</v>
      </c>
      <c r="D22" s="193">
        <f t="shared" si="0"/>
        <v>7056</v>
      </c>
      <c r="E22" s="193">
        <f t="shared" si="0"/>
        <v>7378.6</v>
      </c>
      <c r="F22" s="193">
        <f t="shared" si="0"/>
        <v>7543.4000000000005</v>
      </c>
      <c r="G22" s="193">
        <f t="shared" si="0"/>
        <v>2625.4</v>
      </c>
      <c r="H22" s="193">
        <f t="shared" si="0"/>
        <v>1021.5</v>
      </c>
    </row>
    <row r="23" spans="1:8" s="235" customFormat="1" ht="18" customHeight="1">
      <c r="A23" s="191" t="s">
        <v>183</v>
      </c>
      <c r="B23" s="342" t="s">
        <v>184</v>
      </c>
      <c r="C23" s="193"/>
      <c r="D23" s="193"/>
      <c r="E23" s="193"/>
      <c r="F23" s="193"/>
      <c r="G23" s="193"/>
      <c r="H23" s="193"/>
    </row>
    <row r="24" spans="1:8" s="235" customFormat="1" ht="18" customHeight="1">
      <c r="A24" s="369" t="s">
        <v>185</v>
      </c>
      <c r="B24" s="265" t="s">
        <v>174</v>
      </c>
      <c r="C24" s="284">
        <v>5784</v>
      </c>
      <c r="D24" s="284">
        <v>6197</v>
      </c>
      <c r="E24" s="284">
        <v>6502.6</v>
      </c>
      <c r="F24" s="284">
        <v>6628.3</v>
      </c>
      <c r="G24" s="284">
        <v>2429.4</v>
      </c>
      <c r="H24" s="284">
        <v>1008</v>
      </c>
    </row>
    <row r="25" spans="1:8" s="235" customFormat="1" ht="18" customHeight="1">
      <c r="A25" s="235" t="s">
        <v>186</v>
      </c>
      <c r="B25" s="265" t="s">
        <v>174</v>
      </c>
      <c r="C25" s="284">
        <v>716</v>
      </c>
      <c r="D25" s="284">
        <v>859</v>
      </c>
      <c r="E25" s="284">
        <v>876</v>
      </c>
      <c r="F25" s="284">
        <v>915.1</v>
      </c>
      <c r="G25" s="284">
        <v>196</v>
      </c>
      <c r="H25" s="284">
        <v>13.5</v>
      </c>
    </row>
    <row r="26" spans="1:8" s="235" customFormat="1" ht="18" customHeight="1">
      <c r="A26" s="190" t="s">
        <v>187</v>
      </c>
      <c r="B26" s="265" t="s">
        <v>427</v>
      </c>
      <c r="C26" s="193">
        <f t="shared" ref="C26:H26" si="1">SUM(C29:C30)</f>
        <v>554.6</v>
      </c>
      <c r="D26" s="193">
        <f t="shared" si="1"/>
        <v>772.9</v>
      </c>
      <c r="E26" s="193">
        <f t="shared" si="1"/>
        <v>833.5</v>
      </c>
      <c r="F26" s="193">
        <f t="shared" si="1"/>
        <v>855.1</v>
      </c>
      <c r="G26" s="193">
        <f t="shared" si="1"/>
        <v>460.5</v>
      </c>
      <c r="H26" s="193">
        <f t="shared" si="1"/>
        <v>218.1</v>
      </c>
    </row>
    <row r="27" spans="1:8" s="235" customFormat="1" ht="18" customHeight="1">
      <c r="A27" s="191" t="s">
        <v>188</v>
      </c>
      <c r="B27" s="342" t="s">
        <v>184</v>
      </c>
    </row>
    <row r="28" spans="1:8" s="235" customFormat="1" ht="18" customHeight="1">
      <c r="A28" s="191" t="s">
        <v>189</v>
      </c>
      <c r="B28" s="265"/>
    </row>
    <row r="29" spans="1:8" s="235" customFormat="1" ht="18" customHeight="1">
      <c r="A29" s="369" t="s">
        <v>185</v>
      </c>
      <c r="B29" s="265" t="s">
        <v>174</v>
      </c>
      <c r="C29" s="235">
        <v>441.7</v>
      </c>
      <c r="D29" s="235">
        <v>622.4</v>
      </c>
      <c r="E29" s="235">
        <v>655.4</v>
      </c>
      <c r="F29" s="235">
        <v>667.2</v>
      </c>
      <c r="G29" s="235">
        <v>404.7</v>
      </c>
      <c r="H29" s="235">
        <v>201.5</v>
      </c>
    </row>
    <row r="30" spans="1:8" s="235" customFormat="1" ht="18" customHeight="1">
      <c r="A30" s="235" t="s">
        <v>186</v>
      </c>
      <c r="B30" s="265" t="s">
        <v>174</v>
      </c>
      <c r="C30" s="240">
        <v>112.9</v>
      </c>
      <c r="D30" s="240">
        <v>150.5</v>
      </c>
      <c r="E30" s="240">
        <v>178.1</v>
      </c>
      <c r="F30" s="240">
        <v>187.9</v>
      </c>
      <c r="G30" s="240">
        <v>55.8</v>
      </c>
      <c r="H30" s="240">
        <v>16.600000000000001</v>
      </c>
    </row>
    <row r="31" spans="1:8" s="235" customFormat="1" ht="18" customHeight="1">
      <c r="A31" s="190" t="s">
        <v>190</v>
      </c>
      <c r="B31" s="265" t="s">
        <v>191</v>
      </c>
      <c r="C31" s="371">
        <f t="shared" ref="C31:H31" si="2">SUM(C33:C34)</f>
        <v>722717</v>
      </c>
      <c r="D31" s="371">
        <f t="shared" si="2"/>
        <v>1021380</v>
      </c>
      <c r="E31" s="371">
        <f t="shared" si="2"/>
        <v>1106437</v>
      </c>
      <c r="F31" s="371">
        <f t="shared" si="2"/>
        <v>1140937</v>
      </c>
      <c r="G31" s="371">
        <f t="shared" si="2"/>
        <v>608360</v>
      </c>
      <c r="H31" s="371">
        <f t="shared" si="2"/>
        <v>291463</v>
      </c>
    </row>
    <row r="32" spans="1:8" s="235" customFormat="1" ht="18.95" customHeight="1">
      <c r="A32" s="191" t="s">
        <v>192</v>
      </c>
      <c r="B32" s="342" t="s">
        <v>193</v>
      </c>
    </row>
    <row r="33" spans="1:8" s="235" customFormat="1" ht="18.95" customHeight="1">
      <c r="A33" s="369" t="s">
        <v>185</v>
      </c>
      <c r="B33" s="265" t="s">
        <v>174</v>
      </c>
      <c r="C33" s="329">
        <v>555529</v>
      </c>
      <c r="D33" s="329">
        <v>797648</v>
      </c>
      <c r="E33" s="329">
        <v>843773</v>
      </c>
      <c r="F33" s="329">
        <v>862310</v>
      </c>
      <c r="G33" s="329">
        <v>523715</v>
      </c>
      <c r="H33" s="329">
        <v>266858</v>
      </c>
    </row>
    <row r="34" spans="1:8" s="235" customFormat="1" ht="18.95" customHeight="1">
      <c r="A34" s="235" t="s">
        <v>186</v>
      </c>
      <c r="B34" s="265" t="s">
        <v>174</v>
      </c>
      <c r="C34" s="329">
        <v>167188</v>
      </c>
      <c r="D34" s="329">
        <v>223732</v>
      </c>
      <c r="E34" s="329">
        <v>262664</v>
      </c>
      <c r="F34" s="329">
        <v>278627</v>
      </c>
      <c r="G34" s="329">
        <v>84645</v>
      </c>
      <c r="H34" s="329">
        <v>24605</v>
      </c>
    </row>
    <row r="35" spans="1:8" s="235" customFormat="1" ht="18.95" customHeight="1">
      <c r="A35" s="190" t="s">
        <v>211</v>
      </c>
      <c r="B35" s="265" t="s">
        <v>212</v>
      </c>
      <c r="C35" s="202">
        <v>21.3</v>
      </c>
      <c r="D35" s="202">
        <v>23.32</v>
      </c>
      <c r="E35" s="202">
        <v>23.93</v>
      </c>
      <c r="F35" s="202">
        <v>33</v>
      </c>
      <c r="G35" s="202">
        <v>12.68</v>
      </c>
      <c r="H35" s="202">
        <v>14.65</v>
      </c>
    </row>
    <row r="36" spans="1:8" s="235" customFormat="1" ht="18.95" customHeight="1">
      <c r="A36" s="191" t="s">
        <v>213</v>
      </c>
      <c r="B36" s="265"/>
    </row>
    <row r="37" spans="1:8" s="235" customFormat="1" ht="18" hidden="1" customHeight="1">
      <c r="A37" s="190" t="s">
        <v>214</v>
      </c>
      <c r="B37" s="265"/>
    </row>
    <row r="38" spans="1:8" s="235" customFormat="1" ht="18" hidden="1" customHeight="1">
      <c r="A38" s="191" t="s">
        <v>215</v>
      </c>
    </row>
    <row r="39" spans="1:8" s="235" customFormat="1" ht="18" hidden="1" customHeight="1">
      <c r="A39" s="235" t="s">
        <v>216</v>
      </c>
      <c r="B39" s="265"/>
    </row>
    <row r="40" spans="1:8" s="235" customFormat="1" ht="18" hidden="1" customHeight="1">
      <c r="A40" s="369" t="s">
        <v>217</v>
      </c>
      <c r="B40" s="265"/>
    </row>
    <row r="41" spans="1:8" s="235" customFormat="1" ht="6" customHeight="1">
      <c r="A41" s="203"/>
      <c r="B41" s="243"/>
      <c r="C41" s="243"/>
      <c r="D41" s="243"/>
      <c r="E41" s="243"/>
      <c r="F41" s="243"/>
      <c r="G41" s="243"/>
      <c r="H41" s="243"/>
    </row>
    <row r="42" spans="1:8" s="235" customFormat="1" ht="18.95" customHeight="1">
      <c r="A42" s="191"/>
      <c r="B42" s="265"/>
    </row>
    <row r="43" spans="1:8" s="235" customFormat="1" ht="18.95" customHeight="1">
      <c r="A43" s="191"/>
      <c r="B43" s="265"/>
    </row>
    <row r="44" spans="1:8" s="235" customFormat="1" ht="18.95" customHeight="1">
      <c r="A44" s="191"/>
      <c r="B44" s="265"/>
    </row>
    <row r="45" spans="1:8" s="148" customFormat="1" ht="18.95" hidden="1" customHeight="1">
      <c r="A45" s="190" t="s">
        <v>190</v>
      </c>
      <c r="B45" s="205"/>
      <c r="C45" s="392">
        <f t="shared" ref="C45:G45" si="3">ROUND((C31/1000),1)</f>
        <v>722.7</v>
      </c>
      <c r="D45" s="392">
        <f t="shared" si="3"/>
        <v>1021.4</v>
      </c>
      <c r="E45" s="392">
        <f t="shared" si="3"/>
        <v>1106.4000000000001</v>
      </c>
      <c r="F45" s="392">
        <f t="shared" si="3"/>
        <v>1140.9000000000001</v>
      </c>
      <c r="G45" s="392">
        <f t="shared" si="3"/>
        <v>608.4</v>
      </c>
      <c r="H45" s="392"/>
    </row>
    <row r="46" spans="1:8" s="148" customFormat="1" ht="18.95" hidden="1" customHeight="1">
      <c r="A46" s="369" t="s">
        <v>185</v>
      </c>
      <c r="B46" s="205"/>
      <c r="C46" s="393">
        <f t="shared" ref="C46:F47" si="4">ROUND((C33/1000),1)</f>
        <v>555.5</v>
      </c>
      <c r="D46" s="393">
        <f t="shared" si="4"/>
        <v>797.6</v>
      </c>
      <c r="E46" s="393">
        <f t="shared" si="4"/>
        <v>843.8</v>
      </c>
      <c r="F46" s="393">
        <f t="shared" si="4"/>
        <v>862.3</v>
      </c>
      <c r="G46" s="393">
        <f t="shared" ref="G46" si="5">ROUND((G33/1000),1)</f>
        <v>523.70000000000005</v>
      </c>
      <c r="H46" s="393"/>
    </row>
    <row r="47" spans="1:8" s="148" customFormat="1" ht="18.95" hidden="1" customHeight="1">
      <c r="A47" s="235" t="s">
        <v>186</v>
      </c>
      <c r="B47" s="205"/>
      <c r="C47" s="393">
        <f t="shared" si="4"/>
        <v>167.2</v>
      </c>
      <c r="D47" s="393">
        <f t="shared" si="4"/>
        <v>223.7</v>
      </c>
      <c r="E47" s="393">
        <f t="shared" si="4"/>
        <v>262.7</v>
      </c>
      <c r="F47" s="393">
        <f t="shared" si="4"/>
        <v>278.60000000000002</v>
      </c>
      <c r="G47" s="393">
        <f t="shared" ref="G47" si="6">ROUND((G34/1000),1)</f>
        <v>84.6</v>
      </c>
      <c r="H47" s="393"/>
    </row>
    <row r="48" spans="1:8" s="148" customFormat="1" ht="18.95" customHeight="1">
      <c r="A48" s="204"/>
      <c r="B48" s="205"/>
    </row>
    <row r="49" spans="1:8" s="148" customFormat="1" ht="18.95" customHeight="1">
      <c r="A49" s="204"/>
      <c r="B49" s="205"/>
    </row>
    <row r="50" spans="1:8" s="148" customFormat="1" ht="18.95" customHeight="1">
      <c r="A50" s="204"/>
      <c r="B50" s="205"/>
    </row>
    <row r="51" spans="1:8" s="148" customFormat="1" ht="21.75" customHeight="1">
      <c r="A51" s="204"/>
      <c r="B51" s="205"/>
    </row>
    <row r="52" spans="1:8" s="148" customFormat="1" ht="25.5" hidden="1" customHeight="1">
      <c r="B52" s="205"/>
      <c r="D52" s="178" t="s">
        <v>218</v>
      </c>
      <c r="E52" s="178"/>
      <c r="F52" s="178"/>
      <c r="G52" s="178"/>
      <c r="H52" s="178"/>
    </row>
    <row r="53" spans="1:8" s="148" customFormat="1" ht="27.75" customHeight="1">
      <c r="B53" s="206"/>
    </row>
  </sheetData>
  <mergeCells count="8">
    <mergeCell ref="H4:H5"/>
    <mergeCell ref="A1:B1"/>
    <mergeCell ref="A2:B2"/>
    <mergeCell ref="C4:C5"/>
    <mergeCell ref="E4:E5"/>
    <mergeCell ref="D4:D5"/>
    <mergeCell ref="G4:G5"/>
    <mergeCell ref="F4:F5"/>
  </mergeCells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9" workbookViewId="0">
      <selection activeCell="C1" sqref="C1:I1048576"/>
    </sheetView>
  </sheetViews>
  <sheetFormatPr defaultColWidth="9.140625" defaultRowHeight="12.75"/>
  <cols>
    <col min="1" max="1" width="3" style="347" customWidth="1"/>
    <col min="2" max="2" width="31.42578125" style="347" customWidth="1"/>
    <col min="3" max="8" width="9.5703125" style="347" customWidth="1"/>
    <col min="9" max="16384" width="9.140625" style="347"/>
  </cols>
  <sheetData>
    <row r="1" spans="1:8" ht="26.25" customHeight="1">
      <c r="A1" s="208" t="s">
        <v>417</v>
      </c>
      <c r="B1" s="208"/>
      <c r="C1" s="372"/>
      <c r="D1" s="372"/>
      <c r="E1" s="372"/>
      <c r="F1" s="372"/>
      <c r="G1" s="372"/>
      <c r="H1" s="372"/>
    </row>
    <row r="2" spans="1:8" ht="21.75" customHeight="1">
      <c r="A2" s="229" t="s">
        <v>245</v>
      </c>
      <c r="B2" s="228"/>
      <c r="C2" s="228"/>
      <c r="D2" s="228"/>
      <c r="E2" s="228"/>
      <c r="F2" s="228"/>
      <c r="G2" s="228"/>
      <c r="H2" s="228"/>
    </row>
    <row r="3" spans="1:8" ht="20.100000000000001" customHeight="1">
      <c r="A3" s="209" t="s">
        <v>60</v>
      </c>
    </row>
    <row r="4" spans="1:8" ht="20.100000000000001" customHeight="1">
      <c r="A4" s="350"/>
      <c r="B4" s="350"/>
    </row>
    <row r="5" spans="1:8" s="211" customFormat="1" ht="27" customHeight="1">
      <c r="C5" s="212">
        <v>2016</v>
      </c>
      <c r="D5" s="213">
        <v>2017</v>
      </c>
      <c r="E5" s="212">
        <v>2018</v>
      </c>
      <c r="F5" s="213">
        <v>2019</v>
      </c>
      <c r="G5" s="212">
        <v>2020</v>
      </c>
      <c r="H5" s="213">
        <v>2021</v>
      </c>
    </row>
    <row r="6" spans="1:8" ht="18" customHeight="1"/>
    <row r="7" spans="1:8" ht="27" customHeight="1">
      <c r="A7" s="442" t="s">
        <v>219</v>
      </c>
      <c r="B7" s="442"/>
      <c r="C7" s="215">
        <f>'250'!C7</f>
        <v>423</v>
      </c>
      <c r="D7" s="215">
        <f>'250'!D7</f>
        <v>463</v>
      </c>
      <c r="E7" s="215">
        <f>'250'!E7</f>
        <v>571</v>
      </c>
      <c r="F7" s="215">
        <f>'250'!F7</f>
        <v>653</v>
      </c>
      <c r="G7" s="215">
        <f>'250'!G7</f>
        <v>689</v>
      </c>
      <c r="H7" s="215">
        <f>'250'!H7</f>
        <v>695</v>
      </c>
    </row>
    <row r="8" spans="1:8" ht="18" customHeight="1">
      <c r="A8" s="211" t="s">
        <v>220</v>
      </c>
      <c r="B8" s="347" t="s">
        <v>221</v>
      </c>
      <c r="C8" s="238">
        <v>0</v>
      </c>
      <c r="D8" s="238">
        <v>0</v>
      </c>
      <c r="E8" s="238">
        <v>0</v>
      </c>
      <c r="F8" s="238">
        <v>0</v>
      </c>
      <c r="G8" s="238">
        <v>0</v>
      </c>
      <c r="H8" s="238">
        <v>0</v>
      </c>
    </row>
    <row r="9" spans="1:8" ht="18" customHeight="1">
      <c r="A9" s="211"/>
      <c r="B9" s="347" t="s">
        <v>222</v>
      </c>
      <c r="C9" s="347">
        <v>3</v>
      </c>
      <c r="D9" s="347">
        <v>3</v>
      </c>
      <c r="E9" s="347">
        <v>3</v>
      </c>
      <c r="F9" s="347">
        <v>3</v>
      </c>
      <c r="G9" s="347">
        <v>3</v>
      </c>
      <c r="H9" s="347">
        <v>3</v>
      </c>
    </row>
    <row r="10" spans="1:8" ht="18" customHeight="1">
      <c r="A10" s="211"/>
      <c r="B10" s="347" t="s">
        <v>223</v>
      </c>
      <c r="C10" s="373">
        <f t="shared" ref="C10:E10" si="0">C7-C8-C9-C11-C12</f>
        <v>78</v>
      </c>
      <c r="D10" s="373">
        <f t="shared" si="0"/>
        <v>89</v>
      </c>
      <c r="E10" s="373">
        <f t="shared" si="0"/>
        <v>97</v>
      </c>
      <c r="F10" s="373">
        <f>5+75+18</f>
        <v>98</v>
      </c>
      <c r="G10" s="373">
        <f>5+96+18</f>
        <v>119</v>
      </c>
      <c r="H10" s="373">
        <f>5+32+15+66</f>
        <v>118</v>
      </c>
    </row>
    <row r="11" spans="1:8" ht="18" customHeight="1">
      <c r="A11" s="211"/>
      <c r="B11" s="347" t="s">
        <v>224</v>
      </c>
      <c r="C11" s="347">
        <f>223+1</f>
        <v>224</v>
      </c>
      <c r="D11" s="347">
        <v>234</v>
      </c>
      <c r="E11" s="347">
        <v>240</v>
      </c>
      <c r="F11" s="347">
        <v>288</v>
      </c>
      <c r="G11" s="347">
        <v>377</v>
      </c>
      <c r="H11" s="347">
        <v>302</v>
      </c>
    </row>
    <row r="12" spans="1:8" ht="18" customHeight="1">
      <c r="A12" s="211"/>
      <c r="B12" s="347" t="s">
        <v>225</v>
      </c>
      <c r="C12" s="347">
        <v>118</v>
      </c>
      <c r="D12" s="347">
        <v>137</v>
      </c>
      <c r="E12" s="347">
        <v>231</v>
      </c>
      <c r="F12" s="347">
        <v>264</v>
      </c>
      <c r="G12" s="347">
        <v>190</v>
      </c>
      <c r="H12" s="347">
        <v>272</v>
      </c>
    </row>
    <row r="13" spans="1:8" ht="18" customHeight="1">
      <c r="A13" s="211"/>
    </row>
    <row r="14" spans="1:8" ht="27" customHeight="1">
      <c r="A14" s="442" t="s">
        <v>226</v>
      </c>
      <c r="B14" s="442"/>
      <c r="C14" s="215">
        <f>'250'!C12</f>
        <v>5797</v>
      </c>
      <c r="D14" s="215">
        <f>'250'!D12</f>
        <v>5999</v>
      </c>
      <c r="E14" s="215">
        <f>'250'!E12</f>
        <v>6914</v>
      </c>
      <c r="F14" s="215">
        <f>'250'!F12</f>
        <v>7935</v>
      </c>
      <c r="G14" s="215">
        <f>'250'!G12</f>
        <v>8508</v>
      </c>
      <c r="H14" s="215">
        <f>'250'!H12</f>
        <v>8638</v>
      </c>
    </row>
    <row r="15" spans="1:8" ht="18" customHeight="1">
      <c r="A15" s="211" t="s">
        <v>220</v>
      </c>
      <c r="B15" s="347" t="s">
        <v>221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</row>
    <row r="16" spans="1:8" ht="18" customHeight="1">
      <c r="A16" s="211"/>
      <c r="B16" s="347" t="s">
        <v>222</v>
      </c>
      <c r="C16" s="347">
        <f>488-71</f>
        <v>417</v>
      </c>
      <c r="D16" s="347">
        <v>452</v>
      </c>
      <c r="E16" s="347">
        <v>452</v>
      </c>
      <c r="F16" s="347">
        <v>485</v>
      </c>
      <c r="G16" s="347">
        <v>485</v>
      </c>
      <c r="H16" s="347">
        <v>485</v>
      </c>
    </row>
    <row r="17" spans="1:8" ht="18" customHeight="1">
      <c r="A17" s="211"/>
      <c r="B17" s="347" t="s">
        <v>223</v>
      </c>
      <c r="C17" s="373">
        <f t="shared" ref="C17:E17" si="1">C14-C15-C16-C18-C19</f>
        <v>2474</v>
      </c>
      <c r="D17" s="373">
        <f t="shared" si="1"/>
        <v>2645</v>
      </c>
      <c r="E17" s="373">
        <f t="shared" si="1"/>
        <v>2891</v>
      </c>
      <c r="F17" s="373">
        <f>328+2008+538</f>
        <v>2874</v>
      </c>
      <c r="G17" s="373">
        <f>345+2691+305</f>
        <v>3341</v>
      </c>
      <c r="H17" s="373">
        <f>345+726+225+2067</f>
        <v>3363</v>
      </c>
    </row>
    <row r="18" spans="1:8" ht="18" customHeight="1">
      <c r="A18" s="211"/>
      <c r="B18" s="347" t="s">
        <v>224</v>
      </c>
      <c r="C18" s="373">
        <f>2112+27</f>
        <v>2139</v>
      </c>
      <c r="D18" s="373">
        <v>2056</v>
      </c>
      <c r="E18" s="373">
        <v>2073</v>
      </c>
      <c r="F18" s="373">
        <v>2656</v>
      </c>
      <c r="G18" s="373">
        <v>3239</v>
      </c>
      <c r="H18" s="373">
        <v>2771</v>
      </c>
    </row>
    <row r="19" spans="1:8" ht="18" customHeight="1">
      <c r="A19" s="211"/>
      <c r="B19" s="347" t="s">
        <v>225</v>
      </c>
      <c r="C19" s="347">
        <v>767</v>
      </c>
      <c r="D19" s="347">
        <v>846</v>
      </c>
      <c r="E19" s="373">
        <v>1498</v>
      </c>
      <c r="F19" s="373">
        <v>1920</v>
      </c>
      <c r="G19" s="373">
        <v>1443</v>
      </c>
      <c r="H19" s="373">
        <v>2019</v>
      </c>
    </row>
    <row r="20" spans="1:8" ht="18" customHeight="1">
      <c r="A20" s="211"/>
      <c r="C20" s="374"/>
      <c r="D20" s="374"/>
      <c r="E20" s="374"/>
      <c r="F20" s="374"/>
      <c r="G20" s="374"/>
      <c r="H20" s="374"/>
    </row>
    <row r="21" spans="1:8" ht="27" customHeight="1">
      <c r="A21" s="442" t="s">
        <v>227</v>
      </c>
      <c r="B21" s="442"/>
      <c r="C21" s="215">
        <v>9421</v>
      </c>
      <c r="D21" s="215">
        <v>9687</v>
      </c>
      <c r="E21" s="215">
        <v>11044</v>
      </c>
      <c r="F21" s="215">
        <f>SUM(F22:F26)</f>
        <v>12723</v>
      </c>
      <c r="G21" s="215">
        <f>SUM(G22:G26)</f>
        <v>13681</v>
      </c>
      <c r="H21" s="215">
        <f>SUM(H22:H26)</f>
        <v>13847</v>
      </c>
    </row>
    <row r="22" spans="1:8" ht="18" customHeight="1">
      <c r="A22" s="211" t="s">
        <v>220</v>
      </c>
      <c r="B22" s="347" t="s">
        <v>221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</row>
    <row r="23" spans="1:8" ht="18" customHeight="1">
      <c r="A23" s="211"/>
      <c r="B23" s="347" t="s">
        <v>222</v>
      </c>
      <c r="C23" s="347">
        <f>748-105</f>
        <v>643</v>
      </c>
      <c r="D23" s="347">
        <v>643</v>
      </c>
      <c r="E23" s="347">
        <v>643</v>
      </c>
      <c r="F23" s="347">
        <v>768</v>
      </c>
      <c r="G23" s="347">
        <v>768</v>
      </c>
      <c r="H23" s="347">
        <v>768</v>
      </c>
    </row>
    <row r="24" spans="1:8" ht="18" customHeight="1">
      <c r="A24" s="211"/>
      <c r="B24" s="347" t="s">
        <v>223</v>
      </c>
      <c r="C24" s="373">
        <f t="shared" ref="C24:E24" si="2">C21-C22-C23-C25-C26</f>
        <v>4631</v>
      </c>
      <c r="D24" s="373">
        <f t="shared" si="2"/>
        <v>4812</v>
      </c>
      <c r="E24" s="373">
        <f t="shared" si="2"/>
        <v>5295</v>
      </c>
      <c r="F24" s="373">
        <f>674+3466+1001</f>
        <v>5141</v>
      </c>
      <c r="G24" s="373">
        <f>674+4640+528</f>
        <v>5842</v>
      </c>
      <c r="H24" s="373">
        <f>674+1300+395+3456</f>
        <v>5825</v>
      </c>
    </row>
    <row r="25" spans="1:8" ht="18" customHeight="1">
      <c r="A25" s="211"/>
      <c r="B25" s="347" t="s">
        <v>224</v>
      </c>
      <c r="C25" s="373">
        <f>3039+54</f>
        <v>3093</v>
      </c>
      <c r="D25" s="373">
        <v>3026</v>
      </c>
      <c r="E25" s="373">
        <v>2929</v>
      </c>
      <c r="F25" s="373">
        <v>3767</v>
      </c>
      <c r="G25" s="373">
        <v>4718</v>
      </c>
      <c r="H25" s="373">
        <v>3986</v>
      </c>
    </row>
    <row r="26" spans="1:8" ht="18" customHeight="1">
      <c r="A26" s="211"/>
      <c r="B26" s="347" t="s">
        <v>225</v>
      </c>
      <c r="C26" s="373">
        <v>1054</v>
      </c>
      <c r="D26" s="373">
        <v>1206</v>
      </c>
      <c r="E26" s="373">
        <v>2177</v>
      </c>
      <c r="F26" s="373">
        <v>3047</v>
      </c>
      <c r="G26" s="373">
        <v>2353</v>
      </c>
      <c r="H26" s="373">
        <v>3268</v>
      </c>
    </row>
    <row r="27" spans="1:8" ht="10.5" customHeight="1">
      <c r="A27" s="217"/>
      <c r="B27" s="350"/>
      <c r="C27" s="350"/>
      <c r="D27" s="350"/>
      <c r="E27" s="350"/>
      <c r="F27" s="350"/>
      <c r="G27" s="350"/>
      <c r="H27" s="350"/>
    </row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spans="3:8" ht="18" customHeight="1"/>
    <row r="34" spans="3:8" ht="18" customHeight="1"/>
    <row r="35" spans="3:8" ht="18" customHeight="1"/>
    <row r="36" spans="3:8" ht="18" customHeight="1"/>
    <row r="37" spans="3:8" ht="18" hidden="1" customHeight="1">
      <c r="D37" s="178" t="s">
        <v>228</v>
      </c>
      <c r="E37" s="178"/>
      <c r="F37" s="178"/>
      <c r="G37" s="178"/>
      <c r="H37" s="178"/>
    </row>
    <row r="38" spans="3:8" ht="18" customHeight="1">
      <c r="C38" s="178"/>
      <c r="D38" s="178"/>
      <c r="E38" s="178"/>
      <c r="F38" s="178"/>
      <c r="G38" s="178"/>
      <c r="H38" s="178"/>
    </row>
    <row r="39" spans="3:8" ht="18" customHeight="1"/>
    <row r="40" spans="3:8" ht="18" customHeight="1"/>
    <row r="41" spans="3:8" ht="18" customHeight="1"/>
    <row r="42" spans="3:8" ht="18" customHeight="1"/>
  </sheetData>
  <mergeCells count="3">
    <mergeCell ref="A7:B7"/>
    <mergeCell ref="A14:B14"/>
    <mergeCell ref="A21:B21"/>
  </mergeCells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X24" sqref="X24"/>
    </sheetView>
  </sheetViews>
  <sheetFormatPr defaultColWidth="9.140625" defaultRowHeight="12.75"/>
  <cols>
    <col min="1" max="1" width="3" style="219" customWidth="1"/>
    <col min="2" max="2" width="36.85546875" style="219" customWidth="1"/>
    <col min="3" max="3" width="9" style="219" customWidth="1"/>
    <col min="4" max="4" width="10.140625" style="219" customWidth="1"/>
    <col min="5" max="5" width="12.140625" style="219" customWidth="1"/>
    <col min="6" max="6" width="13.42578125" style="219" customWidth="1"/>
    <col min="7" max="16384" width="9.140625" style="219"/>
  </cols>
  <sheetData>
    <row r="1" spans="1:10" ht="20.100000000000001" customHeight="1">
      <c r="A1" s="220" t="s">
        <v>464</v>
      </c>
    </row>
    <row r="2" spans="1:10" ht="20.100000000000001" customHeight="1">
      <c r="A2" s="220" t="s">
        <v>419</v>
      </c>
    </row>
    <row r="3" spans="1:10" ht="20.100000000000001" customHeight="1">
      <c r="A3" s="221" t="s">
        <v>465</v>
      </c>
    </row>
    <row r="4" spans="1:10" ht="20.100000000000001" customHeight="1">
      <c r="A4" s="221" t="s">
        <v>418</v>
      </c>
    </row>
    <row r="5" spans="1:10" ht="20.100000000000001" customHeight="1">
      <c r="A5" s="209"/>
    </row>
    <row r="6" spans="1:10" s="161" customFormat="1" ht="20.100000000000001" customHeight="1">
      <c r="A6" s="210"/>
      <c r="B6" s="210"/>
      <c r="C6" s="210"/>
      <c r="D6" s="210"/>
      <c r="E6" s="210"/>
      <c r="F6" s="210"/>
    </row>
    <row r="7" spans="1:10" s="161" customFormat="1" ht="20.100000000000001" customHeight="1">
      <c r="A7" s="222"/>
      <c r="B7" s="222"/>
      <c r="C7" s="443" t="s">
        <v>229</v>
      </c>
      <c r="D7" s="445" t="s">
        <v>230</v>
      </c>
      <c r="E7" s="445"/>
      <c r="F7" s="445"/>
    </row>
    <row r="8" spans="1:10" s="161" customFormat="1" ht="78.75" customHeight="1">
      <c r="C8" s="444"/>
      <c r="D8" s="334" t="s">
        <v>231</v>
      </c>
      <c r="E8" s="334" t="s">
        <v>232</v>
      </c>
      <c r="F8" s="334" t="s">
        <v>233</v>
      </c>
    </row>
    <row r="9" spans="1:10" s="161" customFormat="1" ht="18" customHeight="1">
      <c r="D9" s="223"/>
      <c r="E9" s="214"/>
      <c r="F9" s="223"/>
    </row>
    <row r="10" spans="1:10" ht="28.5" customHeight="1">
      <c r="A10" s="442" t="s">
        <v>234</v>
      </c>
      <c r="B10" s="442"/>
      <c r="C10" s="413">
        <f>'251'!H7</f>
        <v>695</v>
      </c>
      <c r="D10" s="307">
        <f>SUM(D11:D15)</f>
        <v>3</v>
      </c>
      <c r="E10" s="307">
        <f>SUM(E11:E15)</f>
        <v>692</v>
      </c>
      <c r="F10" s="226">
        <f>SUM(F11:F15)</f>
        <v>0</v>
      </c>
      <c r="G10" s="225" t="str">
        <f>IF(SUM(D10:F10)=C10," ","sai")</f>
        <v xml:space="preserve"> </v>
      </c>
    </row>
    <row r="11" spans="1:10" ht="18" customHeight="1">
      <c r="A11" s="211" t="s">
        <v>220</v>
      </c>
      <c r="B11" s="219" t="s">
        <v>221</v>
      </c>
      <c r="C11" s="415">
        <f>'251'!H8</f>
        <v>0</v>
      </c>
      <c r="D11" s="151">
        <v>0</v>
      </c>
      <c r="E11" s="151">
        <v>0</v>
      </c>
      <c r="F11" s="151">
        <v>0</v>
      </c>
      <c r="G11" s="225" t="str">
        <f t="shared" ref="G11:G29" si="0">IF(SUM(D11:F11)=C11," ","sai")</f>
        <v xml:space="preserve"> </v>
      </c>
    </row>
    <row r="12" spans="1:10" ht="18" customHeight="1">
      <c r="A12" s="211"/>
      <c r="B12" s="219" t="s">
        <v>222</v>
      </c>
      <c r="C12" s="415">
        <f>'251'!H9</f>
        <v>3</v>
      </c>
      <c r="D12" s="151">
        <v>0</v>
      </c>
      <c r="E12" s="216">
        <v>3</v>
      </c>
      <c r="F12" s="151">
        <v>0</v>
      </c>
      <c r="G12" s="225" t="str">
        <f t="shared" si="0"/>
        <v xml:space="preserve"> </v>
      </c>
    </row>
    <row r="13" spans="1:10" ht="18" customHeight="1">
      <c r="A13" s="211"/>
      <c r="B13" s="219" t="s">
        <v>223</v>
      </c>
      <c r="C13" s="415">
        <f>'251'!H10</f>
        <v>118</v>
      </c>
      <c r="D13" s="216">
        <v>1</v>
      </c>
      <c r="E13" s="216">
        <f>5+31+15+66</f>
        <v>117</v>
      </c>
      <c r="F13" s="151">
        <v>0</v>
      </c>
      <c r="G13" s="225" t="str">
        <f t="shared" si="0"/>
        <v xml:space="preserve"> </v>
      </c>
    </row>
    <row r="14" spans="1:10" ht="18" customHeight="1">
      <c r="A14" s="211"/>
      <c r="B14" s="219" t="s">
        <v>224</v>
      </c>
      <c r="C14" s="415">
        <f>'251'!H11</f>
        <v>302</v>
      </c>
      <c r="D14" s="216">
        <v>2</v>
      </c>
      <c r="E14" s="216">
        <v>300</v>
      </c>
      <c r="F14" s="151">
        <v>0</v>
      </c>
      <c r="G14" s="225" t="str">
        <f t="shared" si="0"/>
        <v xml:space="preserve"> </v>
      </c>
      <c r="J14" s="216"/>
    </row>
    <row r="15" spans="1:10" ht="18" customHeight="1">
      <c r="A15" s="211"/>
      <c r="B15" s="161" t="s">
        <v>225</v>
      </c>
      <c r="C15" s="415">
        <f>'251'!H12</f>
        <v>272</v>
      </c>
      <c r="D15" s="151">
        <v>0</v>
      </c>
      <c r="E15" s="216">
        <v>272</v>
      </c>
      <c r="F15" s="151">
        <v>0</v>
      </c>
      <c r="G15" s="225" t="str">
        <f t="shared" si="0"/>
        <v xml:space="preserve"> </v>
      </c>
    </row>
    <row r="16" spans="1:10" ht="18" customHeight="1">
      <c r="A16" s="211"/>
      <c r="C16" s="414"/>
      <c r="D16" s="216"/>
      <c r="E16" s="216"/>
      <c r="F16" s="216"/>
      <c r="G16" s="225" t="str">
        <f t="shared" si="0"/>
        <v xml:space="preserve"> </v>
      </c>
    </row>
    <row r="17" spans="1:7" s="161" customFormat="1" ht="18" customHeight="1">
      <c r="A17" s="211" t="s">
        <v>235</v>
      </c>
      <c r="B17" s="211"/>
      <c r="C17" s="413">
        <f>'251'!H14</f>
        <v>8638</v>
      </c>
      <c r="D17" s="307">
        <f>SUM(D18:D22)</f>
        <v>78</v>
      </c>
      <c r="E17" s="307">
        <f>SUM(E18:E22)</f>
        <v>8560</v>
      </c>
      <c r="F17" s="224">
        <f>SUM(F18:F22)</f>
        <v>0</v>
      </c>
      <c r="G17" s="225" t="str">
        <f t="shared" si="0"/>
        <v xml:space="preserve"> </v>
      </c>
    </row>
    <row r="18" spans="1:7" s="161" customFormat="1" ht="18" customHeight="1">
      <c r="A18" s="211" t="s">
        <v>220</v>
      </c>
      <c r="B18" s="219" t="s">
        <v>221</v>
      </c>
      <c r="C18" s="415">
        <f>'251'!H15</f>
        <v>0</v>
      </c>
      <c r="D18" s="151">
        <v>0</v>
      </c>
      <c r="E18" s="151">
        <v>0</v>
      </c>
      <c r="F18" s="151">
        <v>0</v>
      </c>
      <c r="G18" s="225" t="str">
        <f t="shared" si="0"/>
        <v xml:space="preserve"> </v>
      </c>
    </row>
    <row r="19" spans="1:7" s="161" customFormat="1" ht="18" customHeight="1">
      <c r="A19" s="211"/>
      <c r="B19" s="219" t="s">
        <v>222</v>
      </c>
      <c r="C19" s="415">
        <f>'251'!H16</f>
        <v>485</v>
      </c>
      <c r="D19" s="151">
        <v>0</v>
      </c>
      <c r="E19" s="216">
        <v>485</v>
      </c>
      <c r="F19" s="151">
        <v>0</v>
      </c>
      <c r="G19" s="225" t="str">
        <f t="shared" si="0"/>
        <v xml:space="preserve"> </v>
      </c>
    </row>
    <row r="20" spans="1:7" s="161" customFormat="1" ht="18" customHeight="1">
      <c r="A20" s="211"/>
      <c r="B20" s="219" t="s">
        <v>223</v>
      </c>
      <c r="C20" s="415">
        <f>'251'!H17</f>
        <v>3363</v>
      </c>
      <c r="D20" s="216">
        <v>50</v>
      </c>
      <c r="E20" s="216">
        <f>345+676+225+2067</f>
        <v>3313</v>
      </c>
      <c r="F20" s="151">
        <v>0</v>
      </c>
      <c r="G20" s="225" t="str">
        <f t="shared" si="0"/>
        <v xml:space="preserve"> </v>
      </c>
    </row>
    <row r="21" spans="1:7" s="161" customFormat="1" ht="18" customHeight="1">
      <c r="A21" s="211"/>
      <c r="B21" s="219" t="s">
        <v>224</v>
      </c>
      <c r="C21" s="415">
        <f>'251'!H18</f>
        <v>2771</v>
      </c>
      <c r="D21" s="216">
        <v>28</v>
      </c>
      <c r="E21" s="216">
        <v>2743</v>
      </c>
      <c r="F21" s="151">
        <v>0</v>
      </c>
      <c r="G21" s="225" t="str">
        <f t="shared" si="0"/>
        <v xml:space="preserve"> </v>
      </c>
    </row>
    <row r="22" spans="1:7" s="161" customFormat="1" ht="18" customHeight="1">
      <c r="A22" s="211"/>
      <c r="B22" s="161" t="s">
        <v>225</v>
      </c>
      <c r="C22" s="415">
        <f>'251'!H19</f>
        <v>2019</v>
      </c>
      <c r="D22" s="151">
        <v>0</v>
      </c>
      <c r="E22" s="216">
        <v>2019</v>
      </c>
      <c r="F22" s="151">
        <v>0</v>
      </c>
      <c r="G22" s="225" t="str">
        <f t="shared" si="0"/>
        <v xml:space="preserve"> </v>
      </c>
    </row>
    <row r="23" spans="1:7" s="161" customFormat="1" ht="18" customHeight="1">
      <c r="A23" s="211"/>
      <c r="B23" s="219"/>
      <c r="C23" s="415"/>
      <c r="D23" s="151"/>
      <c r="E23" s="216"/>
      <c r="F23" s="151"/>
      <c r="G23" s="225" t="str">
        <f t="shared" si="0"/>
        <v xml:space="preserve"> </v>
      </c>
    </row>
    <row r="24" spans="1:7" ht="18" customHeight="1">
      <c r="A24" s="211" t="s">
        <v>236</v>
      </c>
      <c r="B24" s="161"/>
      <c r="C24" s="416">
        <f>'251'!H21</f>
        <v>13847</v>
      </c>
      <c r="D24" s="307">
        <f>SUM(D25:D29)</f>
        <v>167</v>
      </c>
      <c r="E24" s="307">
        <f>SUM(E25:E29)</f>
        <v>13680</v>
      </c>
      <c r="F24" s="224">
        <f>SUM(F25:F29)</f>
        <v>0</v>
      </c>
      <c r="G24" s="225" t="str">
        <f t="shared" si="0"/>
        <v xml:space="preserve"> </v>
      </c>
    </row>
    <row r="25" spans="1:7" ht="18" customHeight="1">
      <c r="A25" s="211" t="s">
        <v>220</v>
      </c>
      <c r="B25" s="219" t="s">
        <v>221</v>
      </c>
      <c r="C25" s="415">
        <f>'251'!H22</f>
        <v>0</v>
      </c>
      <c r="D25" s="151">
        <v>0</v>
      </c>
      <c r="E25" s="151">
        <v>0</v>
      </c>
      <c r="F25" s="151">
        <v>0</v>
      </c>
      <c r="G25" s="225" t="str">
        <f t="shared" si="0"/>
        <v xml:space="preserve"> </v>
      </c>
    </row>
    <row r="26" spans="1:7" ht="18" customHeight="1">
      <c r="A26" s="211"/>
      <c r="B26" s="219" t="s">
        <v>222</v>
      </c>
      <c r="C26" s="415">
        <f>'251'!H23</f>
        <v>768</v>
      </c>
      <c r="D26" s="151">
        <v>0</v>
      </c>
      <c r="E26" s="216">
        <v>768</v>
      </c>
      <c r="F26" s="151">
        <v>0</v>
      </c>
      <c r="G26" s="225" t="str">
        <f t="shared" si="0"/>
        <v xml:space="preserve"> </v>
      </c>
    </row>
    <row r="27" spans="1:7" ht="18" customHeight="1">
      <c r="A27" s="211"/>
      <c r="B27" s="219" t="s">
        <v>223</v>
      </c>
      <c r="C27" s="415">
        <f>'251'!H24</f>
        <v>5825</v>
      </c>
      <c r="D27" s="216">
        <v>100</v>
      </c>
      <c r="E27" s="216">
        <f>674+1200+395+3456</f>
        <v>5725</v>
      </c>
      <c r="F27" s="151">
        <v>0</v>
      </c>
      <c r="G27" s="225" t="str">
        <f t="shared" si="0"/>
        <v xml:space="preserve"> </v>
      </c>
    </row>
    <row r="28" spans="1:7" ht="18" customHeight="1">
      <c r="A28" s="211"/>
      <c r="B28" s="219" t="s">
        <v>224</v>
      </c>
      <c r="C28" s="415">
        <f>'251'!H25</f>
        <v>3986</v>
      </c>
      <c r="D28" s="216">
        <v>67</v>
      </c>
      <c r="E28" s="216">
        <v>3919</v>
      </c>
      <c r="F28" s="151">
        <v>0</v>
      </c>
      <c r="G28" s="225" t="str">
        <f t="shared" si="0"/>
        <v xml:space="preserve"> </v>
      </c>
    </row>
    <row r="29" spans="1:7" ht="18" customHeight="1">
      <c r="A29" s="211"/>
      <c r="B29" s="161" t="s">
        <v>225</v>
      </c>
      <c r="C29" s="415">
        <f>'251'!H26</f>
        <v>3268</v>
      </c>
      <c r="D29" s="151">
        <v>0</v>
      </c>
      <c r="E29" s="216">
        <v>3268</v>
      </c>
      <c r="F29" s="151">
        <v>0</v>
      </c>
      <c r="G29" s="225" t="str">
        <f t="shared" si="0"/>
        <v xml:space="preserve"> </v>
      </c>
    </row>
    <row r="30" spans="1:7" ht="13.5" customHeight="1">
      <c r="A30" s="217"/>
      <c r="B30" s="227"/>
      <c r="C30" s="218"/>
      <c r="D30" s="218"/>
      <c r="E30" s="218"/>
      <c r="F30" s="218"/>
      <c r="G30" s="216"/>
    </row>
    <row r="31" spans="1:7" ht="18" customHeight="1">
      <c r="C31" s="216"/>
      <c r="D31" s="216"/>
      <c r="E31" s="216"/>
      <c r="F31" s="216"/>
      <c r="G31" s="216"/>
    </row>
    <row r="32" spans="1:7" ht="18" customHeight="1"/>
    <row r="33" spans="1:1" ht="18" customHeight="1"/>
    <row r="34" spans="1:1" ht="18" customHeight="1"/>
    <row r="35" spans="1:1" ht="18" hidden="1" customHeight="1">
      <c r="A35" s="207" t="s">
        <v>237</v>
      </c>
    </row>
    <row r="36" spans="1:1" ht="18" customHeight="1"/>
    <row r="37" spans="1:1" ht="18" customHeight="1"/>
    <row r="38" spans="1:1" ht="18" customHeight="1"/>
    <row r="39" spans="1:1" ht="18" customHeight="1"/>
    <row r="40" spans="1:1" ht="18" customHeight="1"/>
    <row r="41" spans="1:1" ht="18" customHeight="1"/>
  </sheetData>
  <mergeCells count="3">
    <mergeCell ref="C7:C8"/>
    <mergeCell ref="D7:F7"/>
    <mergeCell ref="A10:B10"/>
  </mergeCells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2" workbookViewId="0">
      <selection activeCell="B24" sqref="B24:G24"/>
    </sheetView>
  </sheetViews>
  <sheetFormatPr defaultRowHeight="12.75"/>
  <cols>
    <col min="1" max="1" width="40.28515625" customWidth="1"/>
    <col min="2" max="7" width="8.5703125" customWidth="1"/>
  </cols>
  <sheetData>
    <row r="1" spans="1:7" s="15" customFormat="1" ht="20.100000000000001" customHeight="1">
      <c r="A1" s="73" t="s">
        <v>424</v>
      </c>
      <c r="B1" s="16"/>
      <c r="C1" s="16"/>
      <c r="D1" s="16"/>
      <c r="E1" s="16"/>
      <c r="F1" s="16"/>
      <c r="G1" s="16"/>
    </row>
    <row r="2" spans="1:7" s="15" customFormat="1" ht="20.100000000000001" customHeight="1">
      <c r="A2" s="95" t="s">
        <v>98</v>
      </c>
      <c r="B2" s="16"/>
      <c r="C2" s="16"/>
      <c r="D2" s="16"/>
      <c r="E2" s="16"/>
      <c r="F2" s="16"/>
      <c r="G2" s="16"/>
    </row>
    <row r="3" spans="1:7" s="15" customFormat="1" ht="20.100000000000001" customHeight="1">
      <c r="A3" s="42"/>
      <c r="B3" s="19"/>
      <c r="C3" s="19"/>
      <c r="D3" s="19"/>
      <c r="E3" s="19"/>
      <c r="F3" s="19"/>
      <c r="G3" s="19"/>
    </row>
    <row r="4" spans="1:7" s="15" customFormat="1" ht="21.75" customHeight="1">
      <c r="A4" s="16"/>
      <c r="B4" s="60">
        <v>2016</v>
      </c>
      <c r="C4" s="60">
        <v>2017</v>
      </c>
      <c r="D4" s="60">
        <v>2018</v>
      </c>
      <c r="E4" s="60">
        <v>2019</v>
      </c>
      <c r="F4" s="60">
        <v>2020</v>
      </c>
      <c r="G4" s="60">
        <v>2021</v>
      </c>
    </row>
    <row r="5" spans="1:7" s="15" customFormat="1" ht="6.75" customHeight="1">
      <c r="A5" s="16"/>
      <c r="B5" s="16"/>
      <c r="C5" s="16"/>
      <c r="D5" s="16"/>
      <c r="E5" s="16"/>
      <c r="F5" s="16"/>
      <c r="G5" s="16"/>
    </row>
    <row r="6" spans="1:7" s="15" customFormat="1" ht="16.5" customHeight="1">
      <c r="A6" s="16"/>
      <c r="B6" s="426" t="s">
        <v>471</v>
      </c>
      <c r="C6" s="426"/>
      <c r="D6" s="426"/>
      <c r="E6" s="426"/>
      <c r="F6" s="426"/>
      <c r="G6" s="426"/>
    </row>
    <row r="7" spans="1:7" s="15" customFormat="1" ht="22.5" customHeight="1">
      <c r="A7" s="78" t="s">
        <v>243</v>
      </c>
      <c r="B7" s="134">
        <v>1725000</v>
      </c>
      <c r="C7" s="134">
        <v>2693244</v>
      </c>
      <c r="D7" s="134">
        <v>3213293</v>
      </c>
      <c r="E7" s="134">
        <v>3671051</v>
      </c>
      <c r="F7" s="134">
        <v>1583275</v>
      </c>
      <c r="G7" s="134">
        <v>692029</v>
      </c>
    </row>
    <row r="8" spans="1:7" s="15" customFormat="1" ht="15.95" customHeight="1">
      <c r="A8" s="78" t="s">
        <v>27</v>
      </c>
      <c r="B8" s="79">
        <f t="shared" ref="B8:G8" si="0">+B10+B11+B15</f>
        <v>252504</v>
      </c>
      <c r="C8" s="79">
        <f t="shared" si="0"/>
        <v>286347</v>
      </c>
      <c r="D8" s="79">
        <f t="shared" si="0"/>
        <v>303783</v>
      </c>
      <c r="E8" s="79">
        <f t="shared" si="0"/>
        <v>378953</v>
      </c>
      <c r="F8" s="79">
        <f t="shared" si="0"/>
        <v>293430</v>
      </c>
      <c r="G8" s="79">
        <f t="shared" si="0"/>
        <v>314633</v>
      </c>
    </row>
    <row r="9" spans="1:7" s="15" customFormat="1" ht="15.95" customHeight="1">
      <c r="A9" s="77" t="s">
        <v>26</v>
      </c>
      <c r="B9" s="96"/>
      <c r="C9" s="96"/>
      <c r="D9" s="96"/>
      <c r="E9" s="96"/>
      <c r="F9" s="96"/>
      <c r="G9" s="96"/>
    </row>
    <row r="10" spans="1:7" s="15" customFormat="1" ht="15.95" customHeight="1">
      <c r="A10" s="97" t="s">
        <v>1</v>
      </c>
      <c r="B10" s="96">
        <v>2026</v>
      </c>
      <c r="C10" s="96">
        <v>2088</v>
      </c>
      <c r="D10" s="96">
        <v>2221</v>
      </c>
      <c r="E10" s="96">
        <v>2116</v>
      </c>
      <c r="F10" s="96">
        <v>1050</v>
      </c>
      <c r="G10" s="96">
        <v>397</v>
      </c>
    </row>
    <row r="11" spans="1:7" s="15" customFormat="1" ht="15.95" customHeight="1">
      <c r="A11" s="97" t="s">
        <v>23</v>
      </c>
      <c r="B11" s="96">
        <f t="shared" ref="B11:G11" si="1">+B12+B13+B14</f>
        <v>250478</v>
      </c>
      <c r="C11" s="96">
        <f t="shared" si="1"/>
        <v>284259</v>
      </c>
      <c r="D11" s="96">
        <f t="shared" si="1"/>
        <v>301562</v>
      </c>
      <c r="E11" s="96">
        <f t="shared" si="1"/>
        <v>376837</v>
      </c>
      <c r="F11" s="96">
        <f t="shared" si="1"/>
        <v>292380</v>
      </c>
      <c r="G11" s="96">
        <f t="shared" si="1"/>
        <v>314236</v>
      </c>
    </row>
    <row r="12" spans="1:7" s="15" customFormat="1" ht="15.95" customHeight="1">
      <c r="A12" s="98" t="s">
        <v>3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</row>
    <row r="13" spans="1:7" s="15" customFormat="1" ht="15.95" customHeight="1">
      <c r="A13" s="98" t="s">
        <v>4</v>
      </c>
      <c r="B13" s="96">
        <v>126766</v>
      </c>
      <c r="C13" s="96">
        <v>147229</v>
      </c>
      <c r="D13" s="96">
        <v>152042</v>
      </c>
      <c r="E13" s="96">
        <v>215194</v>
      </c>
      <c r="F13" s="96">
        <v>167261</v>
      </c>
      <c r="G13" s="96">
        <v>179097</v>
      </c>
    </row>
    <row r="14" spans="1:7" s="15" customFormat="1" ht="15.95" customHeight="1">
      <c r="A14" s="98" t="s">
        <v>5</v>
      </c>
      <c r="B14" s="96">
        <v>123712</v>
      </c>
      <c r="C14" s="96">
        <v>137030</v>
      </c>
      <c r="D14" s="96">
        <v>149520</v>
      </c>
      <c r="E14" s="96">
        <v>161643</v>
      </c>
      <c r="F14" s="96">
        <v>125119</v>
      </c>
      <c r="G14" s="96">
        <v>135139</v>
      </c>
    </row>
    <row r="15" spans="1:7" s="15" customFormat="1" ht="15.95" customHeight="1">
      <c r="A15" s="97" t="s">
        <v>22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</row>
    <row r="16" spans="1:7" s="15" customFormat="1" ht="15.95" customHeight="1">
      <c r="A16" s="78" t="s">
        <v>25</v>
      </c>
      <c r="B16" s="79">
        <f t="shared" ref="B16:D16" si="2">+B18+B19+B23</f>
        <v>10346</v>
      </c>
      <c r="C16" s="79">
        <f t="shared" si="2"/>
        <v>13664</v>
      </c>
      <c r="D16" s="79">
        <f t="shared" si="2"/>
        <v>14096</v>
      </c>
      <c r="E16" s="79">
        <f t="shared" ref="E16:G16" si="3">+E18+E19+E23</f>
        <v>20661</v>
      </c>
      <c r="F16" s="79">
        <f t="shared" si="3"/>
        <v>6719</v>
      </c>
      <c r="G16" s="79">
        <f t="shared" si="3"/>
        <v>3525</v>
      </c>
    </row>
    <row r="17" spans="1:7" s="15" customFormat="1" ht="15.95" customHeight="1">
      <c r="A17" s="77" t="s">
        <v>24</v>
      </c>
      <c r="B17" s="96"/>
      <c r="C17" s="96"/>
      <c r="D17" s="96"/>
      <c r="E17" s="96"/>
      <c r="F17" s="96"/>
      <c r="G17" s="96"/>
    </row>
    <row r="18" spans="1:7" s="15" customFormat="1" ht="15.95" customHeight="1">
      <c r="A18" s="97" t="s">
        <v>1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</row>
    <row r="19" spans="1:7" s="15" customFormat="1" ht="15.95" customHeight="1">
      <c r="A19" s="97" t="s">
        <v>23</v>
      </c>
      <c r="B19" s="96">
        <f t="shared" ref="B19:D19" si="4">+B20+B21+B22</f>
        <v>10346</v>
      </c>
      <c r="C19" s="96">
        <f t="shared" si="4"/>
        <v>13664</v>
      </c>
      <c r="D19" s="96">
        <f t="shared" si="4"/>
        <v>14096</v>
      </c>
      <c r="E19" s="96">
        <f t="shared" ref="E19:G19" si="5">+E20+E21+E22</f>
        <v>20661</v>
      </c>
      <c r="F19" s="96">
        <f t="shared" si="5"/>
        <v>6719</v>
      </c>
      <c r="G19" s="96">
        <f t="shared" si="5"/>
        <v>3525</v>
      </c>
    </row>
    <row r="20" spans="1:7" s="15" customFormat="1" ht="15.95" customHeight="1">
      <c r="A20" s="98" t="s">
        <v>3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</row>
    <row r="21" spans="1:7" s="15" customFormat="1" ht="15.95" customHeight="1">
      <c r="A21" s="98" t="s">
        <v>4</v>
      </c>
      <c r="B21" s="96">
        <v>10346</v>
      </c>
      <c r="C21" s="96">
        <v>13664</v>
      </c>
      <c r="D21" s="96">
        <v>14096</v>
      </c>
      <c r="E21" s="96">
        <v>20661</v>
      </c>
      <c r="F21" s="96">
        <v>6719</v>
      </c>
      <c r="G21" s="96">
        <v>3525</v>
      </c>
    </row>
    <row r="22" spans="1:7" s="15" customFormat="1" ht="15.95" customHeight="1">
      <c r="A22" s="98" t="s">
        <v>5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</row>
    <row r="23" spans="1:7" s="15" customFormat="1" ht="15.95" customHeight="1">
      <c r="A23" s="97" t="s">
        <v>22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</row>
    <row r="24" spans="1:7" s="15" customFormat="1" ht="15.95" customHeight="1">
      <c r="A24" s="100"/>
      <c r="B24" s="427" t="s">
        <v>472</v>
      </c>
      <c r="C24" s="427"/>
      <c r="D24" s="427"/>
      <c r="E24" s="427"/>
      <c r="F24" s="427"/>
      <c r="G24" s="427"/>
    </row>
    <row r="25" spans="1:7" s="15" customFormat="1" ht="15.95" customHeight="1">
      <c r="A25" s="78" t="s">
        <v>27</v>
      </c>
      <c r="B25" s="82">
        <f t="shared" ref="B25:C25" si="6">+B27+B28+B32</f>
        <v>100</v>
      </c>
      <c r="C25" s="82">
        <f t="shared" si="6"/>
        <v>100</v>
      </c>
      <c r="D25" s="82">
        <f t="shared" ref="D25:E25" si="7">+D27+D28+D32</f>
        <v>100.00000000000001</v>
      </c>
      <c r="E25" s="82">
        <f t="shared" si="7"/>
        <v>100</v>
      </c>
      <c r="F25" s="82">
        <f t="shared" ref="F25:G25" si="8">+F27+F28+F32</f>
        <v>100</v>
      </c>
      <c r="G25" s="82">
        <f t="shared" si="8"/>
        <v>100</v>
      </c>
    </row>
    <row r="26" spans="1:7" s="15" customFormat="1" ht="15.95" customHeight="1">
      <c r="A26" s="77" t="s">
        <v>26</v>
      </c>
      <c r="B26" s="96"/>
      <c r="C26" s="96"/>
      <c r="D26" s="96"/>
      <c r="E26" s="96"/>
      <c r="F26" s="96"/>
      <c r="G26" s="96"/>
    </row>
    <row r="27" spans="1:7" s="15" customFormat="1" ht="15.95" customHeight="1">
      <c r="A27" s="97" t="s">
        <v>1</v>
      </c>
      <c r="B27" s="101">
        <f t="shared" ref="B27:C27" si="9">ROUND(B10/B$8*100,1)</f>
        <v>0.8</v>
      </c>
      <c r="C27" s="101">
        <f t="shared" si="9"/>
        <v>0.7</v>
      </c>
      <c r="D27" s="101">
        <f t="shared" ref="D27:E27" si="10">ROUND(D10/D$8*100,1)</f>
        <v>0.7</v>
      </c>
      <c r="E27" s="101">
        <f t="shared" si="10"/>
        <v>0.6</v>
      </c>
      <c r="F27" s="101">
        <f t="shared" ref="F27:G27" si="11">ROUND(F10/F$8*100,1)</f>
        <v>0.4</v>
      </c>
      <c r="G27" s="101">
        <f t="shared" si="11"/>
        <v>0.1</v>
      </c>
    </row>
    <row r="28" spans="1:7" s="15" customFormat="1" ht="15.95" customHeight="1">
      <c r="A28" s="97" t="s">
        <v>23</v>
      </c>
      <c r="B28" s="101">
        <f t="shared" ref="B28:C28" si="12">+B29+B30+B31</f>
        <v>99.2</v>
      </c>
      <c r="C28" s="101">
        <f t="shared" si="12"/>
        <v>99.3</v>
      </c>
      <c r="D28" s="101">
        <f t="shared" ref="D28:E28" si="13">+D29+D30+D31</f>
        <v>99.300000000000011</v>
      </c>
      <c r="E28" s="101">
        <f t="shared" si="13"/>
        <v>99.4</v>
      </c>
      <c r="F28" s="101">
        <f t="shared" ref="F28:G28" si="14">+F29+F30+F31</f>
        <v>99.6</v>
      </c>
      <c r="G28" s="101">
        <f t="shared" si="14"/>
        <v>99.9</v>
      </c>
    </row>
    <row r="29" spans="1:7" s="15" customFormat="1" ht="15.95" customHeight="1">
      <c r="A29" s="98" t="s">
        <v>3</v>
      </c>
      <c r="B29" s="99">
        <f t="shared" ref="B29:C29" si="15">ROUND(B12/B$8*100,1)</f>
        <v>0</v>
      </c>
      <c r="C29" s="99">
        <f t="shared" si="15"/>
        <v>0</v>
      </c>
      <c r="D29" s="99">
        <f t="shared" ref="D29:E29" si="16">ROUND(D12/D$8*100,1)</f>
        <v>0</v>
      </c>
      <c r="E29" s="99">
        <f t="shared" si="16"/>
        <v>0</v>
      </c>
      <c r="F29" s="99">
        <f t="shared" ref="F29:G29" si="17">ROUND(F12/F$8*100,1)</f>
        <v>0</v>
      </c>
      <c r="G29" s="99">
        <f t="shared" si="17"/>
        <v>0</v>
      </c>
    </row>
    <row r="30" spans="1:7" s="15" customFormat="1" ht="15.95" customHeight="1">
      <c r="A30" s="98" t="s">
        <v>4</v>
      </c>
      <c r="B30" s="101">
        <f t="shared" ref="B30:C30" si="18">ROUND(B13/B$8*100,1)</f>
        <v>50.2</v>
      </c>
      <c r="C30" s="101">
        <f t="shared" si="18"/>
        <v>51.4</v>
      </c>
      <c r="D30" s="101">
        <f>ROUND(D13/D$8*100,1)+0.1</f>
        <v>50.1</v>
      </c>
      <c r="E30" s="101">
        <f>ROUND(E13/E$8*100,1)-0.1</f>
        <v>56.699999999999996</v>
      </c>
      <c r="F30" s="101">
        <f>ROUND(F13/F$8*100,1)</f>
        <v>57</v>
      </c>
      <c r="G30" s="101">
        <f>ROUND(G13/G$8*100,1)</f>
        <v>56.9</v>
      </c>
    </row>
    <row r="31" spans="1:7" s="15" customFormat="1" ht="15.95" customHeight="1">
      <c r="A31" s="98" t="s">
        <v>5</v>
      </c>
      <c r="B31" s="101">
        <f t="shared" ref="B31:C32" si="19">ROUND(B14/B$8*100,1)</f>
        <v>49</v>
      </c>
      <c r="C31" s="101">
        <f t="shared" si="19"/>
        <v>47.9</v>
      </c>
      <c r="D31" s="101">
        <f t="shared" ref="D31:E31" si="20">ROUND(D14/D$8*100,1)</f>
        <v>49.2</v>
      </c>
      <c r="E31" s="101">
        <f t="shared" si="20"/>
        <v>42.7</v>
      </c>
      <c r="F31" s="101">
        <f t="shared" ref="F31:G31" si="21">ROUND(F14/F$8*100,1)</f>
        <v>42.6</v>
      </c>
      <c r="G31" s="101">
        <f t="shared" si="21"/>
        <v>43</v>
      </c>
    </row>
    <row r="32" spans="1:7" s="15" customFormat="1" ht="15.95" customHeight="1">
      <c r="A32" s="97" t="s">
        <v>22</v>
      </c>
      <c r="B32" s="99">
        <f t="shared" si="19"/>
        <v>0</v>
      </c>
      <c r="C32" s="99">
        <f t="shared" si="19"/>
        <v>0</v>
      </c>
      <c r="D32" s="99">
        <f t="shared" ref="D32:E32" si="22">ROUND(D15/D$8*100,1)</f>
        <v>0</v>
      </c>
      <c r="E32" s="99">
        <f t="shared" si="22"/>
        <v>0</v>
      </c>
      <c r="F32" s="99">
        <f t="shared" ref="F32:G32" si="23">ROUND(F15/F$8*100,1)</f>
        <v>0</v>
      </c>
      <c r="G32" s="99">
        <f t="shared" si="23"/>
        <v>0</v>
      </c>
    </row>
    <row r="33" spans="1:7" s="15" customFormat="1" ht="15.95" customHeight="1">
      <c r="A33" s="78" t="s">
        <v>25</v>
      </c>
      <c r="B33" s="82">
        <f t="shared" ref="B33:C33" si="24">+B35+B36+B40</f>
        <v>100</v>
      </c>
      <c r="C33" s="82">
        <f t="shared" si="24"/>
        <v>100</v>
      </c>
      <c r="D33" s="82">
        <f t="shared" ref="D33:E33" si="25">+D35+D36+D40</f>
        <v>100</v>
      </c>
      <c r="E33" s="82">
        <f t="shared" si="25"/>
        <v>100</v>
      </c>
      <c r="F33" s="82">
        <f t="shared" ref="F33:G33" si="26">+F35+F36+F40</f>
        <v>100</v>
      </c>
      <c r="G33" s="82">
        <f t="shared" si="26"/>
        <v>100</v>
      </c>
    </row>
    <row r="34" spans="1:7" s="15" customFormat="1" ht="15.95" customHeight="1">
      <c r="A34" s="77" t="s">
        <v>24</v>
      </c>
      <c r="B34" s="16"/>
      <c r="C34" s="16"/>
      <c r="D34" s="16"/>
      <c r="E34" s="16"/>
      <c r="F34" s="16"/>
      <c r="G34" s="16"/>
    </row>
    <row r="35" spans="1:7" s="15" customFormat="1" ht="15.95" customHeight="1">
      <c r="A35" s="97" t="s">
        <v>1</v>
      </c>
      <c r="B35" s="99">
        <f t="shared" ref="B35:C35" si="27">ROUND(B18/B$16*100,1)</f>
        <v>0</v>
      </c>
      <c r="C35" s="99">
        <f t="shared" si="27"/>
        <v>0</v>
      </c>
      <c r="D35" s="99">
        <f t="shared" ref="D35:E35" si="28">ROUND(D18/D$16*100,1)</f>
        <v>0</v>
      </c>
      <c r="E35" s="99">
        <f t="shared" si="28"/>
        <v>0</v>
      </c>
      <c r="F35" s="99">
        <f t="shared" ref="F35:G35" si="29">ROUND(F18/F$16*100,1)</f>
        <v>0</v>
      </c>
      <c r="G35" s="99">
        <f t="shared" si="29"/>
        <v>0</v>
      </c>
    </row>
    <row r="36" spans="1:7" s="15" customFormat="1" ht="15.95" customHeight="1">
      <c r="A36" s="97" t="s">
        <v>23</v>
      </c>
      <c r="B36" s="101">
        <f t="shared" ref="B36:C36" si="30">+B37+B38+B39</f>
        <v>100</v>
      </c>
      <c r="C36" s="101">
        <f t="shared" si="30"/>
        <v>100</v>
      </c>
      <c r="D36" s="101">
        <f t="shared" ref="D36:E36" si="31">+D37+D38+D39</f>
        <v>100</v>
      </c>
      <c r="E36" s="101">
        <f t="shared" si="31"/>
        <v>100</v>
      </c>
      <c r="F36" s="101">
        <f t="shared" ref="F36:G36" si="32">+F37+F38+F39</f>
        <v>100</v>
      </c>
      <c r="G36" s="101">
        <f t="shared" si="32"/>
        <v>100</v>
      </c>
    </row>
    <row r="37" spans="1:7" s="15" customFormat="1" ht="15.95" customHeight="1">
      <c r="A37" s="98" t="s">
        <v>3</v>
      </c>
      <c r="B37" s="99">
        <f t="shared" ref="B37:C37" si="33">ROUND(B20/B$16*100,1)</f>
        <v>0</v>
      </c>
      <c r="C37" s="99">
        <f t="shared" si="33"/>
        <v>0</v>
      </c>
      <c r="D37" s="99">
        <f t="shared" ref="D37:E37" si="34">ROUND(D20/D$16*100,1)</f>
        <v>0</v>
      </c>
      <c r="E37" s="99">
        <f t="shared" si="34"/>
        <v>0</v>
      </c>
      <c r="F37" s="99">
        <f t="shared" ref="F37:G37" si="35">ROUND(F20/F$16*100,1)</f>
        <v>0</v>
      </c>
      <c r="G37" s="99">
        <f t="shared" si="35"/>
        <v>0</v>
      </c>
    </row>
    <row r="38" spans="1:7" s="15" customFormat="1" ht="15.95" customHeight="1">
      <c r="A38" s="98" t="s">
        <v>4</v>
      </c>
      <c r="B38" s="101">
        <f t="shared" ref="B38:C38" si="36">ROUND(B21/B$16*100,1)</f>
        <v>100</v>
      </c>
      <c r="C38" s="101">
        <f t="shared" si="36"/>
        <v>100</v>
      </c>
      <c r="D38" s="101">
        <f t="shared" ref="D38:E38" si="37">ROUND(D21/D$16*100,1)</f>
        <v>100</v>
      </c>
      <c r="E38" s="101">
        <f t="shared" si="37"/>
        <v>100</v>
      </c>
      <c r="F38" s="101">
        <f t="shared" ref="F38:G38" si="38">ROUND(F21/F$16*100,1)</f>
        <v>100</v>
      </c>
      <c r="G38" s="101">
        <f t="shared" si="38"/>
        <v>100</v>
      </c>
    </row>
    <row r="39" spans="1:7" s="15" customFormat="1" ht="15.95" customHeight="1">
      <c r="A39" s="98" t="s">
        <v>5</v>
      </c>
      <c r="B39" s="99">
        <f t="shared" ref="B39:C39" si="39">ROUND(B22/B$16*100,1)</f>
        <v>0</v>
      </c>
      <c r="C39" s="99">
        <f t="shared" si="39"/>
        <v>0</v>
      </c>
      <c r="D39" s="99">
        <f t="shared" ref="D39:E39" si="40">ROUND(D22/D$16*100,1)</f>
        <v>0</v>
      </c>
      <c r="E39" s="99">
        <f t="shared" si="40"/>
        <v>0</v>
      </c>
      <c r="F39" s="99">
        <f t="shared" ref="F39:G39" si="41">ROUND(F22/F$16*100,1)</f>
        <v>0</v>
      </c>
      <c r="G39" s="99">
        <f t="shared" si="41"/>
        <v>0</v>
      </c>
    </row>
    <row r="40" spans="1:7" s="15" customFormat="1" ht="15.95" customHeight="1">
      <c r="A40" s="97" t="s">
        <v>22</v>
      </c>
      <c r="B40" s="99">
        <f t="shared" ref="B40:C40" si="42">ROUND(B23/B$16*100,1)</f>
        <v>0</v>
      </c>
      <c r="C40" s="99">
        <f t="shared" si="42"/>
        <v>0</v>
      </c>
      <c r="D40" s="99">
        <f t="shared" ref="D40:E40" si="43">ROUND(D23/D$16*100,1)</f>
        <v>0</v>
      </c>
      <c r="E40" s="99">
        <f t="shared" si="43"/>
        <v>0</v>
      </c>
      <c r="F40" s="99">
        <f t="shared" ref="F40:G40" si="44">ROUND(F23/F$16*100,1)</f>
        <v>0</v>
      </c>
      <c r="G40" s="99">
        <f t="shared" si="44"/>
        <v>0</v>
      </c>
    </row>
    <row r="41" spans="1:7" s="15" customFormat="1" ht="3.75" customHeight="1">
      <c r="A41" s="102"/>
      <c r="B41" s="19"/>
      <c r="C41" s="19"/>
      <c r="D41" s="19"/>
      <c r="E41" s="19"/>
      <c r="F41" s="19"/>
      <c r="G41" s="19"/>
    </row>
    <row r="42" spans="1:7" s="15" customFormat="1" ht="15.95" customHeight="1">
      <c r="A42" s="13"/>
    </row>
    <row r="43" spans="1:7" s="15" customFormat="1" ht="15.95" customHeight="1">
      <c r="A43" s="13"/>
    </row>
    <row r="44" spans="1:7" s="15" customFormat="1" ht="15.95" customHeight="1"/>
    <row r="45" spans="1:7" s="15" customFormat="1" ht="15.95" customHeight="1"/>
    <row r="46" spans="1:7" s="15" customFormat="1" ht="15.95" customHeight="1"/>
    <row r="47" spans="1:7" s="15" customFormat="1" ht="15.95" customHeight="1"/>
  </sheetData>
  <mergeCells count="2">
    <mergeCell ref="B6:G6"/>
    <mergeCell ref="B24:G24"/>
  </mergeCells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>
    <oddFooter xml:space="preserve">&amp;L       &amp;12Thương mại và Du lịch - Trade and Tourism&amp;R&amp;12&amp;P+378    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workbookViewId="0">
      <selection activeCell="B1" sqref="B1:G1048576"/>
    </sheetView>
  </sheetViews>
  <sheetFormatPr defaultRowHeight="12.75"/>
  <cols>
    <col min="1" max="1" width="39" customWidth="1"/>
    <col min="2" max="7" width="8.7109375" customWidth="1"/>
  </cols>
  <sheetData>
    <row r="1" spans="1:7" ht="20.100000000000001" customHeight="1">
      <c r="A1" s="73" t="s">
        <v>416</v>
      </c>
      <c r="B1" s="75"/>
      <c r="C1" s="75"/>
      <c r="D1" s="75"/>
      <c r="E1" s="75"/>
      <c r="F1" s="75"/>
      <c r="G1" s="75"/>
    </row>
    <row r="2" spans="1:7" ht="20.100000000000001" customHeight="1">
      <c r="A2" s="91" t="s">
        <v>95</v>
      </c>
      <c r="B2" s="75"/>
      <c r="C2" s="75"/>
      <c r="D2" s="75"/>
      <c r="E2" s="75"/>
      <c r="F2" s="75"/>
      <c r="G2" s="75"/>
    </row>
    <row r="3" spans="1:7" ht="20.100000000000001" customHeight="1">
      <c r="A3" s="75"/>
      <c r="B3" s="75"/>
      <c r="C3" s="75"/>
      <c r="D3" s="75"/>
      <c r="E3" s="75"/>
      <c r="F3" s="75"/>
      <c r="G3" s="75"/>
    </row>
    <row r="4" spans="1:7" s="15" customFormat="1" ht="20.100000000000001" customHeight="1">
      <c r="A4" s="19"/>
      <c r="B4" s="16"/>
      <c r="G4" s="20" t="s">
        <v>96</v>
      </c>
    </row>
    <row r="5" spans="1:7" s="59" customFormat="1" ht="20.25" customHeight="1">
      <c r="A5" s="103"/>
      <c r="B5" s="104">
        <v>2016</v>
      </c>
      <c r="C5" s="104">
        <v>2017</v>
      </c>
      <c r="D5" s="104">
        <v>2018</v>
      </c>
      <c r="E5" s="104">
        <v>2019</v>
      </c>
      <c r="F5" s="104">
        <v>2020</v>
      </c>
      <c r="G5" s="104">
        <v>2021</v>
      </c>
    </row>
    <row r="6" spans="1:7" ht="20.100000000000001" customHeight="1">
      <c r="A6" s="75"/>
      <c r="B6" s="75"/>
      <c r="C6" s="75"/>
      <c r="D6" s="75"/>
      <c r="E6" s="75"/>
      <c r="F6" s="75"/>
      <c r="G6" s="75"/>
    </row>
    <row r="7" spans="1:7" ht="27" customHeight="1">
      <c r="A7" s="105" t="s">
        <v>31</v>
      </c>
      <c r="B7" s="106">
        <v>334040</v>
      </c>
      <c r="C7" s="106">
        <v>479870</v>
      </c>
      <c r="D7" s="106">
        <v>510374</v>
      </c>
      <c r="E7" s="106">
        <v>520976</v>
      </c>
      <c r="F7" s="106">
        <v>316076</v>
      </c>
      <c r="G7" s="106">
        <v>163265</v>
      </c>
    </row>
    <row r="8" spans="1:7" ht="27" customHeight="1">
      <c r="A8" s="107" t="s">
        <v>30</v>
      </c>
      <c r="B8" s="75"/>
      <c r="C8" s="106"/>
      <c r="D8" s="106"/>
      <c r="E8" s="106"/>
      <c r="F8" s="106"/>
      <c r="G8" s="106"/>
    </row>
    <row r="9" spans="1:7" ht="27" customHeight="1">
      <c r="A9" s="108" t="s">
        <v>29</v>
      </c>
      <c r="B9" s="106">
        <v>107664</v>
      </c>
      <c r="C9" s="106">
        <v>142535</v>
      </c>
      <c r="D9" s="106">
        <v>145032</v>
      </c>
      <c r="E9" s="106">
        <v>146226</v>
      </c>
      <c r="F9" s="106">
        <v>88647</v>
      </c>
      <c r="G9" s="106">
        <v>38247</v>
      </c>
    </row>
    <row r="10" spans="1:7" ht="27" customHeight="1">
      <c r="A10" s="109" t="s">
        <v>89</v>
      </c>
      <c r="B10" s="106">
        <f t="shared" ref="B10:G10" si="0">+B7+B9</f>
        <v>441704</v>
      </c>
      <c r="C10" s="106">
        <f t="shared" si="0"/>
        <v>622405</v>
      </c>
      <c r="D10" s="106">
        <f t="shared" si="0"/>
        <v>655406</v>
      </c>
      <c r="E10" s="106">
        <f t="shared" si="0"/>
        <v>667202</v>
      </c>
      <c r="F10" s="106">
        <f t="shared" si="0"/>
        <v>404723</v>
      </c>
      <c r="G10" s="106">
        <f t="shared" si="0"/>
        <v>201512</v>
      </c>
    </row>
    <row r="11" spans="1:7" ht="32.25" customHeight="1">
      <c r="A11" s="107" t="s">
        <v>91</v>
      </c>
      <c r="B11" s="75"/>
      <c r="C11" s="106"/>
      <c r="D11" s="106"/>
      <c r="E11" s="106"/>
      <c r="F11" s="106"/>
      <c r="G11" s="106"/>
    </row>
    <row r="12" spans="1:7" ht="27" customHeight="1">
      <c r="A12" s="108" t="s">
        <v>90</v>
      </c>
      <c r="B12" s="106">
        <v>3398</v>
      </c>
      <c r="C12" s="106">
        <v>2687</v>
      </c>
      <c r="D12" s="106">
        <v>3916</v>
      </c>
      <c r="E12" s="106">
        <v>8106</v>
      </c>
      <c r="F12" s="106">
        <v>3296</v>
      </c>
      <c r="G12" s="106">
        <v>1665</v>
      </c>
    </row>
    <row r="13" spans="1:7" ht="27" customHeight="1">
      <c r="A13" s="110" t="s">
        <v>92</v>
      </c>
      <c r="B13" s="75"/>
      <c r="C13" s="106"/>
      <c r="D13" s="106"/>
      <c r="E13" s="106"/>
      <c r="F13" s="106"/>
      <c r="G13" s="106"/>
    </row>
    <row r="14" spans="1:7" ht="10.5" customHeight="1">
      <c r="A14" s="61"/>
      <c r="B14" s="61"/>
      <c r="C14" s="61"/>
      <c r="D14" s="61"/>
      <c r="E14" s="61"/>
      <c r="F14" s="61"/>
      <c r="G14" s="61"/>
    </row>
    <row r="15" spans="1:7" s="15" customFormat="1" ht="20.100000000000001" customHeight="1"/>
    <row r="16" spans="1:7" s="15" customFormat="1" ht="20.100000000000001" customHeight="1"/>
    <row r="17" s="15" customFormat="1" ht="20.100000000000001" customHeight="1"/>
    <row r="18" s="15" customFormat="1" ht="20.100000000000001" customHeight="1"/>
    <row r="19" s="15" customFormat="1" ht="20.100000000000001" customHeight="1"/>
    <row r="20" s="15" customFormat="1" ht="20.100000000000001" customHeight="1"/>
    <row r="21" s="15" customFormat="1" ht="20.100000000000001" customHeight="1"/>
    <row r="22" s="15" customFormat="1" ht="20.100000000000001" customHeight="1"/>
    <row r="23" s="15" customFormat="1" ht="20.100000000000001" customHeight="1"/>
    <row r="24" s="15" customFormat="1" ht="20.100000000000001" customHeight="1"/>
    <row r="25" s="15" customFormat="1" ht="20.100000000000001" customHeight="1"/>
    <row r="26" s="15" customFormat="1" ht="20.100000000000001" customHeight="1"/>
    <row r="27" s="15" customFormat="1" ht="20.100000000000001" customHeight="1"/>
    <row r="28" s="15" customFormat="1" ht="20.100000000000001" customHeight="1"/>
    <row r="29" s="15" customFormat="1" ht="20.100000000000001" customHeight="1"/>
    <row r="30" s="15" customFormat="1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>
    <oddFooter xml:space="preserve">&amp;L       &amp;12Thương mại và Du lịch - Trade and Tourism&amp;R&amp;12&amp;P+378      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activeCell="C1" sqref="C1:R1048576"/>
    </sheetView>
  </sheetViews>
  <sheetFormatPr defaultColWidth="10.28515625" defaultRowHeight="15"/>
  <cols>
    <col min="1" max="1" width="31.5703125" style="153" customWidth="1"/>
    <col min="2" max="2" width="11.28515625" style="153" customWidth="1"/>
    <col min="3" max="3" width="8" style="153" customWidth="1"/>
    <col min="4" max="8" width="8.140625" style="153" customWidth="1"/>
    <col min="9" max="16384" width="10.28515625" style="153"/>
  </cols>
  <sheetData>
    <row r="1" spans="1:8" s="148" customFormat="1" ht="29.1" customHeight="1">
      <c r="A1" s="244" t="s">
        <v>461</v>
      </c>
      <c r="B1" s="244"/>
    </row>
    <row r="2" spans="1:8" s="148" customFormat="1" ht="23.25" customHeight="1">
      <c r="A2" s="441" t="s">
        <v>251</v>
      </c>
      <c r="B2" s="441"/>
    </row>
    <row r="3" spans="1:8" s="148" customFormat="1" ht="18.95" customHeight="1">
      <c r="A3" s="298"/>
      <c r="B3" s="298"/>
      <c r="C3" s="288"/>
      <c r="D3" s="288"/>
      <c r="E3" s="288"/>
      <c r="F3" s="288"/>
      <c r="G3" s="288"/>
      <c r="H3" s="288"/>
    </row>
    <row r="4" spans="1:8" s="149" customFormat="1" ht="16.5" customHeight="1">
      <c r="A4" s="181"/>
      <c r="B4" s="194" t="s">
        <v>167</v>
      </c>
      <c r="C4" s="438">
        <v>2016</v>
      </c>
      <c r="D4" s="438">
        <v>2017</v>
      </c>
      <c r="E4" s="438">
        <v>2018</v>
      </c>
      <c r="F4" s="438">
        <v>2019</v>
      </c>
      <c r="G4" s="438">
        <v>2020</v>
      </c>
      <c r="H4" s="438">
        <v>2021</v>
      </c>
    </row>
    <row r="5" spans="1:8" s="149" customFormat="1" ht="12.75" customHeight="1">
      <c r="A5" s="150"/>
      <c r="B5" s="195" t="s">
        <v>168</v>
      </c>
      <c r="C5" s="439"/>
      <c r="D5" s="439"/>
      <c r="E5" s="439"/>
      <c r="F5" s="439"/>
      <c r="G5" s="439"/>
      <c r="H5" s="439"/>
    </row>
    <row r="6" spans="1:8" s="149" customFormat="1" ht="18.95" customHeight="1">
      <c r="B6" s="185"/>
    </row>
    <row r="7" spans="1:8" s="198" customFormat="1" ht="18.95" hidden="1" customHeight="1">
      <c r="A7" s="196" t="s">
        <v>194</v>
      </c>
      <c r="B7" s="197" t="s">
        <v>195</v>
      </c>
    </row>
    <row r="8" spans="1:8" s="198" customFormat="1" ht="18.95" hidden="1" customHeight="1">
      <c r="A8" s="196" t="s">
        <v>196</v>
      </c>
      <c r="B8" s="199" t="s">
        <v>197</v>
      </c>
    </row>
    <row r="9" spans="1:8" s="198" customFormat="1" ht="18.95" hidden="1" customHeight="1">
      <c r="A9" s="200" t="s">
        <v>188</v>
      </c>
      <c r="B9" s="197"/>
    </row>
    <row r="10" spans="1:8" s="198" customFormat="1" ht="18.95" hidden="1" customHeight="1">
      <c r="A10" s="200" t="s">
        <v>198</v>
      </c>
      <c r="B10" s="197"/>
    </row>
    <row r="11" spans="1:8" s="198" customFormat="1" ht="18.95" hidden="1" customHeight="1">
      <c r="A11" s="201" t="s">
        <v>199</v>
      </c>
      <c r="B11" s="197" t="s">
        <v>174</v>
      </c>
    </row>
    <row r="12" spans="1:8" s="198" customFormat="1" ht="18.95" hidden="1" customHeight="1">
      <c r="A12" s="198" t="s">
        <v>200</v>
      </c>
      <c r="B12" s="197" t="s">
        <v>174</v>
      </c>
    </row>
    <row r="13" spans="1:8" s="149" customFormat="1" ht="23.1" customHeight="1">
      <c r="A13" s="190" t="s">
        <v>201</v>
      </c>
      <c r="B13" s="185" t="s">
        <v>202</v>
      </c>
    </row>
    <row r="14" spans="1:8" s="149" customFormat="1" ht="23.1" customHeight="1">
      <c r="A14" s="191" t="s">
        <v>203</v>
      </c>
      <c r="B14" s="188" t="s">
        <v>204</v>
      </c>
    </row>
    <row r="15" spans="1:8" s="149" customFormat="1" ht="23.1" customHeight="1">
      <c r="A15" s="149" t="s">
        <v>205</v>
      </c>
      <c r="B15" s="185" t="s">
        <v>174</v>
      </c>
      <c r="C15" s="149">
        <v>1.32</v>
      </c>
      <c r="D15" s="149">
        <v>1.44</v>
      </c>
      <c r="E15" s="149">
        <v>1.43</v>
      </c>
      <c r="F15" s="149">
        <v>1.62</v>
      </c>
      <c r="G15" s="149">
        <v>1.84</v>
      </c>
      <c r="H15" s="149">
        <v>1.75</v>
      </c>
    </row>
    <row r="16" spans="1:8" s="149" customFormat="1" ht="23.1" customHeight="1">
      <c r="A16" s="191" t="s">
        <v>206</v>
      </c>
      <c r="B16" s="185"/>
    </row>
    <row r="17" spans="1:8" s="149" customFormat="1" ht="23.1" customHeight="1">
      <c r="A17" s="149" t="s">
        <v>207</v>
      </c>
      <c r="B17" s="185" t="s">
        <v>174</v>
      </c>
      <c r="C17" s="156">
        <v>0.79800000000000004</v>
      </c>
      <c r="D17" s="156">
        <v>0.89</v>
      </c>
      <c r="E17" s="156">
        <v>0.94</v>
      </c>
      <c r="F17" s="156">
        <v>1.002</v>
      </c>
      <c r="G17" s="156">
        <v>0.98</v>
      </c>
      <c r="H17" s="156">
        <v>0.93</v>
      </c>
    </row>
    <row r="18" spans="1:8" s="149" customFormat="1" ht="23.1" customHeight="1">
      <c r="A18" s="191" t="s">
        <v>208</v>
      </c>
      <c r="B18" s="185"/>
    </row>
    <row r="19" spans="1:8" s="149" customFormat="1" ht="23.1" customHeight="1">
      <c r="A19" s="190" t="s">
        <v>209</v>
      </c>
      <c r="B19" s="185" t="s">
        <v>202</v>
      </c>
    </row>
    <row r="20" spans="1:8" s="149" customFormat="1" ht="23.1" customHeight="1">
      <c r="A20" s="191" t="s">
        <v>210</v>
      </c>
      <c r="B20" s="188" t="s">
        <v>204</v>
      </c>
    </row>
    <row r="21" spans="1:8" s="149" customFormat="1" ht="23.1" customHeight="1">
      <c r="A21" s="149" t="s">
        <v>205</v>
      </c>
      <c r="B21" s="185" t="s">
        <v>174</v>
      </c>
      <c r="C21" s="149">
        <v>2.5</v>
      </c>
      <c r="D21" s="149">
        <v>2.65</v>
      </c>
      <c r="E21" s="149">
        <v>2.5299999999999998</v>
      </c>
      <c r="F21" s="156">
        <v>2.7</v>
      </c>
      <c r="G21" s="156">
        <v>2.68</v>
      </c>
      <c r="H21" s="156">
        <v>2.76</v>
      </c>
    </row>
    <row r="22" spans="1:8" s="149" customFormat="1" ht="23.1" customHeight="1">
      <c r="A22" s="191" t="s">
        <v>206</v>
      </c>
      <c r="B22" s="185"/>
    </row>
    <row r="23" spans="1:8" s="149" customFormat="1" ht="23.1" customHeight="1">
      <c r="A23" s="149" t="s">
        <v>207</v>
      </c>
      <c r="B23" s="185" t="s">
        <v>174</v>
      </c>
      <c r="C23" s="156">
        <v>1.498</v>
      </c>
      <c r="D23" s="156">
        <v>1.57</v>
      </c>
      <c r="E23" s="156">
        <v>1.58</v>
      </c>
      <c r="F23" s="156">
        <v>1.6220000000000001</v>
      </c>
      <c r="G23" s="156">
        <v>1.59</v>
      </c>
      <c r="H23" s="156">
        <v>1.42</v>
      </c>
    </row>
    <row r="24" spans="1:8" s="149" customFormat="1" ht="23.1" customHeight="1">
      <c r="A24" s="191" t="s">
        <v>208</v>
      </c>
      <c r="B24" s="185"/>
    </row>
    <row r="25" spans="1:8" s="149" customFormat="1" ht="18.95" hidden="1" customHeight="1">
      <c r="A25" s="190" t="s">
        <v>211</v>
      </c>
      <c r="B25" s="185" t="s">
        <v>212</v>
      </c>
      <c r="C25" s="202">
        <v>21.3</v>
      </c>
      <c r="D25" s="202">
        <v>23.32</v>
      </c>
      <c r="E25" s="202">
        <v>23.93</v>
      </c>
      <c r="F25" s="202"/>
      <c r="G25" s="202"/>
      <c r="H25" s="202"/>
    </row>
    <row r="26" spans="1:8" s="149" customFormat="1" ht="18.95" hidden="1" customHeight="1">
      <c r="A26" s="191" t="s">
        <v>213</v>
      </c>
      <c r="B26" s="185"/>
    </row>
    <row r="27" spans="1:8" s="149" customFormat="1" ht="18" hidden="1" customHeight="1">
      <c r="A27" s="190" t="s">
        <v>214</v>
      </c>
      <c r="B27" s="185"/>
    </row>
    <row r="28" spans="1:8" s="149" customFormat="1" ht="18" hidden="1" customHeight="1">
      <c r="A28" s="191" t="s">
        <v>215</v>
      </c>
    </row>
    <row r="29" spans="1:8" s="149" customFormat="1" ht="18" hidden="1" customHeight="1">
      <c r="A29" s="149" t="s">
        <v>216</v>
      </c>
      <c r="B29" s="185"/>
    </row>
    <row r="30" spans="1:8" s="149" customFormat="1" ht="18" hidden="1" customHeight="1">
      <c r="A30" s="189" t="s">
        <v>217</v>
      </c>
      <c r="B30" s="185"/>
    </row>
    <row r="31" spans="1:8" s="149" customFormat="1" ht="18.95" customHeight="1">
      <c r="A31" s="203"/>
      <c r="B31" s="158"/>
      <c r="C31" s="158"/>
      <c r="D31" s="158"/>
      <c r="E31" s="158"/>
      <c r="F31" s="158"/>
      <c r="G31" s="158"/>
      <c r="H31" s="158"/>
    </row>
    <row r="32" spans="1:8" s="149" customFormat="1" ht="18.95" customHeight="1">
      <c r="A32" s="191"/>
      <c r="B32" s="185"/>
    </row>
    <row r="33" spans="1:8" s="149" customFormat="1" ht="18.95" customHeight="1">
      <c r="A33" s="191"/>
      <c r="B33" s="185"/>
    </row>
    <row r="34" spans="1:8" s="149" customFormat="1" ht="18.95" customHeight="1">
      <c r="A34" s="191"/>
      <c r="B34" s="185"/>
    </row>
    <row r="35" spans="1:8" s="148" customFormat="1" ht="18.95" customHeight="1">
      <c r="A35" s="204"/>
      <c r="B35" s="205"/>
    </row>
    <row r="36" spans="1:8" s="148" customFormat="1" ht="18.95" customHeight="1">
      <c r="A36" s="204"/>
      <c r="B36" s="205"/>
    </row>
    <row r="37" spans="1:8" s="148" customFormat="1" ht="18.95" customHeight="1">
      <c r="A37" s="204"/>
      <c r="B37" s="205"/>
    </row>
    <row r="38" spans="1:8" s="148" customFormat="1" ht="18.95" customHeight="1">
      <c r="A38" s="204"/>
      <c r="B38" s="205"/>
    </row>
    <row r="39" spans="1:8" s="148" customFormat="1" ht="18.95" customHeight="1">
      <c r="A39" s="204"/>
      <c r="B39" s="205"/>
    </row>
    <row r="40" spans="1:8" s="148" customFormat="1" ht="18.95" customHeight="1">
      <c r="A40" s="204"/>
      <c r="B40" s="205"/>
    </row>
    <row r="41" spans="1:8" s="148" customFormat="1" ht="21.75" customHeight="1">
      <c r="A41" s="204"/>
      <c r="B41" s="205"/>
    </row>
    <row r="42" spans="1:8" s="148" customFormat="1" ht="25.5" hidden="1" customHeight="1">
      <c r="B42" s="205"/>
      <c r="D42" s="178" t="s">
        <v>218</v>
      </c>
      <c r="E42" s="178"/>
      <c r="F42" s="178"/>
      <c r="G42" s="178"/>
      <c r="H42" s="178"/>
    </row>
    <row r="43" spans="1:8" s="148" customFormat="1" ht="27.75" customHeight="1">
      <c r="B43" s="206"/>
    </row>
  </sheetData>
  <mergeCells count="7">
    <mergeCell ref="A2:B2"/>
    <mergeCell ref="H4:H5"/>
    <mergeCell ref="E4:E5"/>
    <mergeCell ref="G4:G5"/>
    <mergeCell ref="C4:C5"/>
    <mergeCell ref="D4:D5"/>
    <mergeCell ref="F4:F5"/>
  </mergeCells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48"/>
  <sheetViews>
    <sheetView workbookViewId="0">
      <selection activeCell="F16" sqref="F16"/>
    </sheetView>
  </sheetViews>
  <sheetFormatPr defaultRowHeight="12.75"/>
  <cols>
    <col min="1" max="1" width="48.42578125" customWidth="1"/>
    <col min="2" max="5" width="8.7109375" customWidth="1"/>
    <col min="6" max="6" width="10.140625" customWidth="1"/>
  </cols>
  <sheetData>
    <row r="1" spans="1:7" ht="20.100000000000001" customHeight="1">
      <c r="A1" s="7" t="s">
        <v>99</v>
      </c>
      <c r="G1" s="147" t="s">
        <v>136</v>
      </c>
    </row>
    <row r="2" spans="1:7" ht="20.100000000000001" customHeight="1">
      <c r="A2" s="32" t="s">
        <v>100</v>
      </c>
    </row>
    <row r="3" spans="1:7" ht="20.100000000000001" customHeight="1">
      <c r="A3" s="22" t="s">
        <v>60</v>
      </c>
    </row>
    <row r="4" spans="1:7" s="15" customFormat="1" ht="20.100000000000001" customHeight="1">
      <c r="A4" s="19"/>
      <c r="B4" s="19"/>
      <c r="E4" s="21"/>
      <c r="F4" s="21" t="s">
        <v>94</v>
      </c>
    </row>
    <row r="5" spans="1:7" s="15" customFormat="1" ht="27" customHeight="1">
      <c r="B5" s="31" t="s">
        <v>8</v>
      </c>
      <c r="C5" s="18" t="s">
        <v>0</v>
      </c>
      <c r="D5" s="18" t="s">
        <v>0</v>
      </c>
      <c r="E5" s="18" t="s">
        <v>0</v>
      </c>
      <c r="F5" s="17" t="s">
        <v>28</v>
      </c>
    </row>
    <row r="6" spans="1:7" s="15" customFormat="1" ht="15.95" customHeight="1">
      <c r="B6" s="30"/>
      <c r="C6" s="29"/>
      <c r="D6" s="29"/>
      <c r="E6" s="29"/>
      <c r="F6" s="28"/>
    </row>
    <row r="7" spans="1:7" ht="15.95" customHeight="1">
      <c r="A7" s="27" t="s">
        <v>70</v>
      </c>
    </row>
    <row r="8" spans="1:7" ht="15.95" customHeight="1">
      <c r="A8" s="26" t="s">
        <v>59</v>
      </c>
    </row>
    <row r="9" spans="1:7" ht="15.95" customHeight="1">
      <c r="A9" s="33" t="s">
        <v>58</v>
      </c>
    </row>
    <row r="10" spans="1:7" ht="15.95" customHeight="1">
      <c r="A10" s="23" t="s">
        <v>57</v>
      </c>
    </row>
    <row r="11" spans="1:7" ht="15.95" customHeight="1">
      <c r="A11" s="23" t="s">
        <v>56</v>
      </c>
    </row>
    <row r="12" spans="1:7" ht="15.95" customHeight="1">
      <c r="A12" s="23" t="s">
        <v>0</v>
      </c>
    </row>
    <row r="13" spans="1:7" s="15" customFormat="1" ht="15.95" customHeight="1">
      <c r="A13" s="23" t="s">
        <v>55</v>
      </c>
    </row>
    <row r="14" spans="1:7" s="15" customFormat="1" ht="15.95" customHeight="1">
      <c r="A14" s="25" t="s">
        <v>54</v>
      </c>
    </row>
    <row r="15" spans="1:7" s="15" customFormat="1" ht="15.95" customHeight="1">
      <c r="A15" s="24" t="s">
        <v>53</v>
      </c>
    </row>
    <row r="16" spans="1:7" s="15" customFormat="1" ht="15.95" customHeight="1">
      <c r="A16" s="23" t="s">
        <v>14</v>
      </c>
    </row>
    <row r="17" spans="1:1" s="15" customFormat="1" ht="15.95" customHeight="1">
      <c r="A17" s="25" t="s">
        <v>52</v>
      </c>
    </row>
    <row r="18" spans="1:1" s="15" customFormat="1" ht="15.95" customHeight="1">
      <c r="A18" s="24" t="s">
        <v>51</v>
      </c>
    </row>
    <row r="19" spans="1:1" s="15" customFormat="1" ht="15.95" customHeight="1">
      <c r="A19" s="23" t="s">
        <v>50</v>
      </c>
    </row>
    <row r="20" spans="1:1" s="15" customFormat="1" ht="15.95" customHeight="1">
      <c r="A20" s="23" t="s">
        <v>0</v>
      </c>
    </row>
    <row r="21" spans="1:1" s="15" customFormat="1" ht="15.95" customHeight="1">
      <c r="A21" s="23" t="s">
        <v>49</v>
      </c>
    </row>
    <row r="22" spans="1:1" ht="15.95" customHeight="1">
      <c r="A22" s="25" t="s">
        <v>61</v>
      </c>
    </row>
    <row r="23" spans="1:1" ht="15.95" customHeight="1">
      <c r="A23" s="23" t="s">
        <v>0</v>
      </c>
    </row>
    <row r="24" spans="1:1" s="15" customFormat="1" ht="15.95" customHeight="1">
      <c r="A24" s="23" t="s">
        <v>0</v>
      </c>
    </row>
    <row r="25" spans="1:1" ht="15.95" customHeight="1">
      <c r="A25" s="25" t="s">
        <v>48</v>
      </c>
    </row>
    <row r="26" spans="1:1" s="15" customFormat="1" ht="15.95" customHeight="1">
      <c r="A26" s="23" t="s">
        <v>47</v>
      </c>
    </row>
    <row r="27" spans="1:1" s="15" customFormat="1" ht="15.95" customHeight="1">
      <c r="A27" s="23" t="s">
        <v>46</v>
      </c>
    </row>
    <row r="28" spans="1:1" s="15" customFormat="1" ht="15.95" customHeight="1">
      <c r="A28" s="23" t="s">
        <v>0</v>
      </c>
    </row>
    <row r="29" spans="1:1" s="15" customFormat="1" ht="15.95" customHeight="1">
      <c r="A29" s="23" t="s">
        <v>45</v>
      </c>
    </row>
    <row r="30" spans="1:1" s="15" customFormat="1" ht="15.95" customHeight="1">
      <c r="A30" s="25" t="s">
        <v>44</v>
      </c>
    </row>
    <row r="31" spans="1:1" s="15" customFormat="1" ht="15.95" customHeight="1">
      <c r="A31" s="23" t="s">
        <v>43</v>
      </c>
    </row>
    <row r="32" spans="1:1" s="15" customFormat="1" ht="15.95" customHeight="1">
      <c r="A32" s="23" t="s">
        <v>42</v>
      </c>
    </row>
    <row r="33" spans="1:1" s="15" customFormat="1" ht="15.95" customHeight="1">
      <c r="A33" s="25" t="s">
        <v>41</v>
      </c>
    </row>
    <row r="34" spans="1:1" s="15" customFormat="1" ht="15.95" customHeight="1">
      <c r="A34" s="24" t="s">
        <v>40</v>
      </c>
    </row>
    <row r="35" spans="1:1" ht="15.95" customHeight="1">
      <c r="A35" s="23" t="s">
        <v>39</v>
      </c>
    </row>
    <row r="36" spans="1:1" ht="15.95" customHeight="1">
      <c r="A36" s="23" t="s">
        <v>0</v>
      </c>
    </row>
    <row r="37" spans="1:1" ht="15.95" customHeight="1">
      <c r="A37" s="23" t="s">
        <v>38</v>
      </c>
    </row>
    <row r="38" spans="1:1" s="15" customFormat="1" ht="15.95" customHeight="1">
      <c r="A38" s="23" t="s">
        <v>37</v>
      </c>
    </row>
    <row r="39" spans="1:1" s="15" customFormat="1" ht="15.95" customHeight="1">
      <c r="A39" s="23" t="s">
        <v>36</v>
      </c>
    </row>
    <row r="40" spans="1:1" s="15" customFormat="1" ht="15.95" customHeight="1">
      <c r="A40" s="23" t="s">
        <v>35</v>
      </c>
    </row>
    <row r="41" spans="1:1" s="15" customFormat="1" ht="15.95" customHeight="1">
      <c r="A41" s="23" t="s">
        <v>34</v>
      </c>
    </row>
    <row r="42" spans="1:1" s="15" customFormat="1" ht="15.95" customHeight="1">
      <c r="A42" s="23" t="s">
        <v>33</v>
      </c>
    </row>
    <row r="43" spans="1:1" s="15" customFormat="1" ht="15.95" customHeight="1">
      <c r="A43" s="23" t="s">
        <v>32</v>
      </c>
    </row>
    <row r="44" spans="1:1" s="15" customFormat="1" ht="18" customHeight="1">
      <c r="A44"/>
    </row>
    <row r="45" spans="1:1" s="15" customFormat="1" ht="18" customHeight="1">
      <c r="A45"/>
    </row>
    <row r="46" spans="1:1" s="15" customFormat="1" ht="18" customHeight="1">
      <c r="A46"/>
    </row>
    <row r="47" spans="1:1" s="15" customFormat="1" ht="18" customHeight="1">
      <c r="A47"/>
    </row>
    <row r="48" spans="1:1" s="15" customFormat="1" ht="18" customHeight="1">
      <c r="A48"/>
    </row>
  </sheetData>
  <pageMargins left="0.39370078740157483" right="0.39370078740157483" top="0.39370078740157483" bottom="0.39370078740157483" header="0.19685039370078741" footer="0.19685039370078741"/>
  <pageSetup firstPageNumber="182" orientation="portrait" useFirstPageNumber="1" r:id="rId1"/>
  <headerFooter alignWithMargins="0">
    <oddFooter>&amp;L&amp;12Thương mại và Du lịch - Trade and Tourism&amp;R&amp;P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44"/>
  <sheetViews>
    <sheetView workbookViewId="0">
      <selection activeCell="I15" sqref="I15"/>
    </sheetView>
  </sheetViews>
  <sheetFormatPr defaultRowHeight="12.75"/>
  <cols>
    <col min="1" max="1" width="48.5703125" customWidth="1"/>
    <col min="2" max="5" width="8.7109375" customWidth="1"/>
    <col min="6" max="6" width="10.140625" customWidth="1"/>
  </cols>
  <sheetData>
    <row r="1" spans="1:7" ht="20.100000000000001" customHeight="1">
      <c r="A1" s="7" t="s">
        <v>101</v>
      </c>
      <c r="G1" s="147" t="s">
        <v>136</v>
      </c>
    </row>
    <row r="2" spans="1:7" ht="20.100000000000001" customHeight="1">
      <c r="A2" s="32" t="s">
        <v>102</v>
      </c>
    </row>
    <row r="3" spans="1:7" ht="20.100000000000001" customHeight="1">
      <c r="A3" s="22" t="s">
        <v>60</v>
      </c>
    </row>
    <row r="4" spans="1:7" s="15" customFormat="1" ht="20.100000000000001" customHeight="1">
      <c r="A4" s="19"/>
      <c r="B4" s="19"/>
      <c r="E4" s="21"/>
      <c r="F4" s="21" t="s">
        <v>94</v>
      </c>
    </row>
    <row r="5" spans="1:7" s="15" customFormat="1" ht="27" customHeight="1">
      <c r="B5" s="31" t="s">
        <v>8</v>
      </c>
      <c r="C5" s="18" t="s">
        <v>0</v>
      </c>
      <c r="D5" s="18" t="s">
        <v>0</v>
      </c>
      <c r="E5" s="18" t="s">
        <v>0</v>
      </c>
      <c r="F5" s="17" t="s">
        <v>28</v>
      </c>
    </row>
    <row r="6" spans="1:7" s="15" customFormat="1" ht="18" customHeight="1">
      <c r="B6" s="30"/>
      <c r="C6" s="29"/>
      <c r="D6" s="29"/>
      <c r="E6" s="29"/>
      <c r="F6" s="28"/>
    </row>
    <row r="7" spans="1:7" ht="18" customHeight="1">
      <c r="A7" s="27" t="s">
        <v>70</v>
      </c>
    </row>
    <row r="8" spans="1:7" ht="15.95" customHeight="1">
      <c r="A8" s="26" t="s">
        <v>59</v>
      </c>
    </row>
    <row r="9" spans="1:7" ht="15.95" customHeight="1">
      <c r="A9" s="33" t="s">
        <v>58</v>
      </c>
    </row>
    <row r="10" spans="1:7" ht="15.95" customHeight="1">
      <c r="A10" s="23" t="s">
        <v>57</v>
      </c>
    </row>
    <row r="11" spans="1:7" ht="15.95" customHeight="1">
      <c r="A11" s="23" t="s">
        <v>56</v>
      </c>
    </row>
    <row r="12" spans="1:7" ht="15.95" customHeight="1">
      <c r="A12" s="23" t="s">
        <v>0</v>
      </c>
    </row>
    <row r="13" spans="1:7" ht="15.95" customHeight="1">
      <c r="A13" s="23" t="s">
        <v>55</v>
      </c>
    </row>
    <row r="14" spans="1:7" s="15" customFormat="1" ht="15.95" customHeight="1">
      <c r="A14" s="25" t="s">
        <v>54</v>
      </c>
    </row>
    <row r="15" spans="1:7" s="15" customFormat="1" ht="15.95" customHeight="1">
      <c r="A15" s="24" t="s">
        <v>53</v>
      </c>
    </row>
    <row r="16" spans="1:7" s="15" customFormat="1" ht="15.95" customHeight="1">
      <c r="A16" s="23" t="s">
        <v>14</v>
      </c>
    </row>
    <row r="17" spans="1:1" s="15" customFormat="1" ht="15.95" customHeight="1">
      <c r="A17" s="25" t="s">
        <v>52</v>
      </c>
    </row>
    <row r="18" spans="1:1" s="15" customFormat="1" ht="15.95" customHeight="1">
      <c r="A18" s="24" t="s">
        <v>51</v>
      </c>
    </row>
    <row r="19" spans="1:1" s="15" customFormat="1" ht="15.95" customHeight="1">
      <c r="A19" s="23" t="s">
        <v>50</v>
      </c>
    </row>
    <row r="20" spans="1:1" s="15" customFormat="1" ht="15.95" customHeight="1">
      <c r="A20" s="23" t="s">
        <v>0</v>
      </c>
    </row>
    <row r="21" spans="1:1" s="15" customFormat="1" ht="15.95" customHeight="1">
      <c r="A21" s="23" t="s">
        <v>49</v>
      </c>
    </row>
    <row r="22" spans="1:1" s="15" customFormat="1" ht="15.95" customHeight="1">
      <c r="A22" s="25" t="s">
        <v>61</v>
      </c>
    </row>
    <row r="23" spans="1:1" s="15" customFormat="1" ht="15.95" customHeight="1">
      <c r="A23" s="23" t="s">
        <v>0</v>
      </c>
    </row>
    <row r="24" spans="1:1" s="15" customFormat="1" ht="15.95" customHeight="1">
      <c r="A24" s="23" t="s">
        <v>0</v>
      </c>
    </row>
    <row r="25" spans="1:1" s="15" customFormat="1" ht="15.95" customHeight="1">
      <c r="A25" s="25" t="s">
        <v>48</v>
      </c>
    </row>
    <row r="26" spans="1:1" s="15" customFormat="1" ht="15.95" customHeight="1">
      <c r="A26" s="23" t="s">
        <v>47</v>
      </c>
    </row>
    <row r="27" spans="1:1" s="15" customFormat="1" ht="15.95" customHeight="1">
      <c r="A27" s="23" t="s">
        <v>46</v>
      </c>
    </row>
    <row r="28" spans="1:1" s="15" customFormat="1" ht="15.95" customHeight="1">
      <c r="A28" s="23" t="s">
        <v>0</v>
      </c>
    </row>
    <row r="29" spans="1:1" ht="15.95" customHeight="1">
      <c r="A29" s="23" t="s">
        <v>45</v>
      </c>
    </row>
    <row r="30" spans="1:1" ht="15.95" customHeight="1">
      <c r="A30" s="25" t="s">
        <v>44</v>
      </c>
    </row>
    <row r="31" spans="1:1" s="15" customFormat="1" ht="15.95" customHeight="1">
      <c r="A31" s="23" t="s">
        <v>43</v>
      </c>
    </row>
    <row r="32" spans="1:1" s="15" customFormat="1" ht="15.95" customHeight="1">
      <c r="A32" s="23" t="s">
        <v>42</v>
      </c>
    </row>
    <row r="33" spans="1:1" s="15" customFormat="1" ht="15.95" customHeight="1">
      <c r="A33" s="25" t="s">
        <v>41</v>
      </c>
    </row>
    <row r="34" spans="1:1" ht="15.95" customHeight="1">
      <c r="A34" s="24" t="s">
        <v>40</v>
      </c>
    </row>
    <row r="35" spans="1:1" s="15" customFormat="1" ht="15.95" customHeight="1">
      <c r="A35" s="23" t="s">
        <v>39</v>
      </c>
    </row>
    <row r="36" spans="1:1" s="15" customFormat="1" ht="15.95" customHeight="1">
      <c r="A36" s="23" t="s">
        <v>0</v>
      </c>
    </row>
    <row r="37" spans="1:1" s="15" customFormat="1" ht="15.95" customHeight="1">
      <c r="A37" s="23" t="s">
        <v>38</v>
      </c>
    </row>
    <row r="38" spans="1:1" s="15" customFormat="1" ht="15.95" customHeight="1">
      <c r="A38" s="23" t="s">
        <v>37</v>
      </c>
    </row>
    <row r="39" spans="1:1" s="15" customFormat="1" ht="15.95" customHeight="1">
      <c r="A39" s="23" t="s">
        <v>36</v>
      </c>
    </row>
    <row r="40" spans="1:1" s="15" customFormat="1" ht="15.95" customHeight="1">
      <c r="A40" s="23" t="s">
        <v>35</v>
      </c>
    </row>
    <row r="41" spans="1:1" s="15" customFormat="1" ht="15.95" customHeight="1">
      <c r="A41" s="23" t="s">
        <v>34</v>
      </c>
    </row>
    <row r="42" spans="1:1" s="15" customFormat="1" ht="15.95" customHeight="1">
      <c r="A42" s="23" t="s">
        <v>33</v>
      </c>
    </row>
    <row r="43" spans="1:1" ht="15.95" customHeight="1">
      <c r="A43" s="23" t="s">
        <v>32</v>
      </c>
    </row>
    <row r="44" spans="1:1" s="15" customFormat="1" ht="18" customHeight="1">
      <c r="A44"/>
    </row>
  </sheetData>
  <pageMargins left="0.39370078740157483" right="0.39370078740157483" top="0.39370078740157483" bottom="0.39370078740157483" header="0.19685039370078741" footer="0.19685039370078741"/>
  <pageSetup firstPageNumber="182" orientation="portrait" useFirstPageNumber="1" r:id="rId1"/>
  <headerFooter alignWithMargins="0">
    <oddFooter>&amp;L&amp;12Thương mại và Du lịch - Trade and Tourism&amp;R&amp;P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D15" sqref="D15"/>
    </sheetView>
  </sheetViews>
  <sheetFormatPr defaultRowHeight="12.75"/>
  <cols>
    <col min="1" max="1" width="6.5703125" customWidth="1"/>
    <col min="2" max="2" width="59.42578125" customWidth="1"/>
    <col min="3" max="3" width="7" customWidth="1"/>
  </cols>
  <sheetData>
    <row r="1" spans="1:3" ht="15">
      <c r="A1" s="53"/>
      <c r="B1" s="53"/>
      <c r="C1" s="53"/>
    </row>
    <row r="2" spans="1:3" ht="20.25">
      <c r="A2" s="421" t="s">
        <v>78</v>
      </c>
      <c r="B2" s="421"/>
      <c r="C2" s="421"/>
    </row>
    <row r="3" spans="1:3">
      <c r="A3" s="54"/>
      <c r="B3" s="54"/>
      <c r="C3" s="54"/>
    </row>
    <row r="4" spans="1:3">
      <c r="A4" s="54"/>
      <c r="B4" s="54"/>
      <c r="C4" s="54"/>
    </row>
    <row r="5" spans="1:3">
      <c r="A5" s="54"/>
      <c r="B5" s="54"/>
      <c r="C5" s="54"/>
    </row>
    <row r="6" spans="1:3">
      <c r="A6" s="54"/>
      <c r="B6" s="54"/>
      <c r="C6" s="54"/>
    </row>
    <row r="7" spans="1:3">
      <c r="A7" s="54"/>
      <c r="B7" s="54"/>
      <c r="C7" s="54"/>
    </row>
    <row r="8" spans="1:3">
      <c r="A8" s="54"/>
      <c r="B8" s="54"/>
      <c r="C8" s="54"/>
    </row>
    <row r="9" spans="1:3">
      <c r="A9" s="54"/>
      <c r="B9" s="54"/>
      <c r="C9" s="54"/>
    </row>
    <row r="10" spans="1:3">
      <c r="A10" s="54"/>
      <c r="B10" s="54"/>
      <c r="C10" s="54"/>
    </row>
    <row r="11" spans="1:3">
      <c r="A11" s="54"/>
      <c r="B11" s="54"/>
      <c r="C11" s="54"/>
    </row>
    <row r="12" spans="1:3">
      <c r="A12" s="54"/>
      <c r="B12" s="54"/>
      <c r="C12" s="54"/>
    </row>
    <row r="13" spans="1:3">
      <c r="A13" s="54"/>
      <c r="B13" s="54"/>
      <c r="C13" s="54"/>
    </row>
    <row r="14" spans="1:3">
      <c r="A14" s="54"/>
      <c r="B14" s="54"/>
      <c r="C14" s="54"/>
    </row>
    <row r="15" spans="1:3">
      <c r="A15" s="54"/>
      <c r="B15" s="54"/>
      <c r="C15" s="54"/>
    </row>
    <row r="16" spans="1:3">
      <c r="A16" s="54"/>
      <c r="B16" s="54"/>
      <c r="C16" s="54"/>
    </row>
    <row r="17" spans="1:3">
      <c r="A17" s="54"/>
      <c r="B17" s="54"/>
      <c r="C17" s="54"/>
    </row>
    <row r="18" spans="1:3">
      <c r="A18" s="54"/>
      <c r="B18" s="54"/>
      <c r="C18" s="54"/>
    </row>
    <row r="19" spans="1:3">
      <c r="A19" s="54"/>
      <c r="B19" s="54"/>
      <c r="C19" s="54"/>
    </row>
    <row r="20" spans="1:3">
      <c r="A20" s="54"/>
      <c r="B20" s="54"/>
      <c r="C20" s="54"/>
    </row>
    <row r="21" spans="1:3">
      <c r="A21" s="54"/>
      <c r="B21" s="54"/>
      <c r="C21" s="54"/>
    </row>
    <row r="22" spans="1:3">
      <c r="A22" s="54"/>
      <c r="B22" s="54"/>
      <c r="C22" s="54"/>
    </row>
    <row r="23" spans="1:3">
      <c r="A23" s="54"/>
      <c r="B23" s="54"/>
      <c r="C23" s="54"/>
    </row>
    <row r="24" spans="1:3">
      <c r="A24" s="54"/>
      <c r="B24" s="54"/>
      <c r="C24" s="54"/>
    </row>
    <row r="25" spans="1:3">
      <c r="A25" s="54"/>
      <c r="B25" s="54"/>
      <c r="C25" s="54"/>
    </row>
    <row r="26" spans="1:3">
      <c r="A26" s="54"/>
      <c r="B26" s="54"/>
      <c r="C26" s="54"/>
    </row>
    <row r="27" spans="1:3">
      <c r="A27" s="54"/>
      <c r="B27" s="54"/>
      <c r="C27" s="54"/>
    </row>
    <row r="28" spans="1:3">
      <c r="A28" s="54"/>
      <c r="B28" s="54"/>
      <c r="C28" s="54"/>
    </row>
    <row r="29" spans="1:3">
      <c r="A29" s="54"/>
      <c r="B29" s="54"/>
      <c r="C29" s="54"/>
    </row>
    <row r="30" spans="1:3">
      <c r="A30" s="54"/>
      <c r="B30" s="54"/>
      <c r="C30" s="54"/>
    </row>
    <row r="31" spans="1:3">
      <c r="A31" s="54"/>
      <c r="B31" s="54"/>
      <c r="C31" s="54"/>
    </row>
    <row r="32" spans="1:3">
      <c r="A32" s="54"/>
      <c r="B32" s="54"/>
      <c r="C32" s="54"/>
    </row>
    <row r="33" spans="1:3">
      <c r="A33" s="54"/>
      <c r="B33" s="54"/>
      <c r="C33" s="54"/>
    </row>
    <row r="34" spans="1:3">
      <c r="A34" s="54"/>
      <c r="B34" s="54"/>
      <c r="C34" s="54"/>
    </row>
    <row r="35" spans="1:3">
      <c r="A35" s="54"/>
      <c r="B35" s="54"/>
      <c r="C35" s="54"/>
    </row>
    <row r="36" spans="1:3">
      <c r="A36" s="54"/>
      <c r="B36" s="54"/>
      <c r="C36" s="54"/>
    </row>
  </sheetData>
  <mergeCells count="1">
    <mergeCell ref="A2:C2"/>
  </mergeCells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>
    <oddFooter xml:space="preserve">&amp;L       &amp;12  Thương mại và Du lịch - Trade and Tourism&amp;R&amp;12&amp;P+252  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6" workbookViewId="0">
      <selection activeCell="B22" sqref="B22:G23"/>
    </sheetView>
  </sheetViews>
  <sheetFormatPr defaultColWidth="9.140625" defaultRowHeight="16.5"/>
  <cols>
    <col min="1" max="1" width="33.7109375" style="148" customWidth="1"/>
    <col min="2" max="17" width="10.42578125" style="148" customWidth="1"/>
    <col min="18" max="18" width="9.42578125" style="148" customWidth="1"/>
    <col min="19" max="16384" width="9.140625" style="148"/>
  </cols>
  <sheetData>
    <row r="1" spans="1:7" ht="30" customHeight="1">
      <c r="A1" s="244" t="s">
        <v>407</v>
      </c>
    </row>
    <row r="2" spans="1:7" ht="20.100000000000001" customHeight="1">
      <c r="A2" s="419" t="s">
        <v>384</v>
      </c>
    </row>
    <row r="3" spans="1:7" ht="9" customHeight="1">
      <c r="A3" s="234"/>
    </row>
    <row r="4" spans="1:7" s="235" customFormat="1" ht="20.100000000000001" customHeight="1">
      <c r="A4" s="243"/>
      <c r="B4" s="243"/>
      <c r="C4" s="243"/>
      <c r="D4" s="243"/>
      <c r="E4" s="243"/>
      <c r="F4" s="243"/>
      <c r="G4" s="299" t="s">
        <v>253</v>
      </c>
    </row>
    <row r="5" spans="1:7" s="235" customFormat="1" ht="16.5" customHeight="1">
      <c r="A5" s="150"/>
      <c r="B5" s="338">
        <v>2016</v>
      </c>
      <c r="C5" s="339">
        <v>2017</v>
      </c>
      <c r="D5" s="338">
        <v>2018</v>
      </c>
      <c r="E5" s="339">
        <v>2019</v>
      </c>
      <c r="F5" s="390">
        <v>2020</v>
      </c>
      <c r="G5" s="411">
        <v>2021</v>
      </c>
    </row>
    <row r="6" spans="1:7" s="235" customFormat="1" ht="17.100000000000001" customHeight="1">
      <c r="A6" s="340" t="s">
        <v>254</v>
      </c>
      <c r="B6" s="322">
        <v>946968.5</v>
      </c>
      <c r="C6" s="322">
        <v>1213916.8</v>
      </c>
      <c r="D6" s="322">
        <v>1503363.6</v>
      </c>
      <c r="E6" s="322">
        <v>2432293.4</v>
      </c>
      <c r="F6" s="322">
        <v>2700400.4</v>
      </c>
      <c r="G6" s="322">
        <v>2955416.5</v>
      </c>
    </row>
    <row r="7" spans="1:7" s="235" customFormat="1" ht="15.6" customHeight="1">
      <c r="A7" s="191" t="s">
        <v>255</v>
      </c>
      <c r="B7" s="323">
        <f>B6</f>
        <v>946968.5</v>
      </c>
      <c r="C7" s="323">
        <f t="shared" ref="C7:D7" si="0">C6</f>
        <v>1213916.8</v>
      </c>
      <c r="D7" s="323">
        <f t="shared" si="0"/>
        <v>1503363.6</v>
      </c>
      <c r="E7" s="323">
        <v>2432293.4</v>
      </c>
      <c r="F7" s="323">
        <v>2700400.4</v>
      </c>
      <c r="G7" s="323">
        <f>G6</f>
        <v>2955416.5</v>
      </c>
    </row>
    <row r="8" spans="1:7" s="235" customFormat="1" ht="15.6" customHeight="1">
      <c r="A8" s="191" t="s">
        <v>256</v>
      </c>
      <c r="B8" s="236"/>
      <c r="C8" s="236"/>
      <c r="D8" s="236"/>
      <c r="E8" s="236"/>
      <c r="F8" s="236"/>
      <c r="G8" s="236"/>
    </row>
    <row r="9" spans="1:7" s="235" customFormat="1" ht="15.6" customHeight="1">
      <c r="A9" s="190" t="s">
        <v>257</v>
      </c>
      <c r="B9" s="236"/>
      <c r="C9" s="236"/>
      <c r="D9" s="236"/>
      <c r="E9" s="236"/>
      <c r="F9" s="236"/>
      <c r="G9" s="236"/>
    </row>
    <row r="10" spans="1:7" s="235" customFormat="1" ht="15.6" customHeight="1">
      <c r="A10" s="191" t="s">
        <v>258</v>
      </c>
      <c r="B10" s="236"/>
      <c r="C10" s="236"/>
      <c r="D10" s="236"/>
      <c r="E10" s="236"/>
      <c r="F10" s="236"/>
      <c r="G10" s="236"/>
    </row>
    <row r="11" spans="1:7" s="235" customFormat="1" ht="15.6" customHeight="1">
      <c r="A11" s="235" t="s">
        <v>259</v>
      </c>
      <c r="B11" s="323">
        <v>946968.5</v>
      </c>
      <c r="C11" s="323">
        <f>C6</f>
        <v>1213916.8</v>
      </c>
      <c r="D11" s="323">
        <f>D6</f>
        <v>1503363.6</v>
      </c>
      <c r="E11" s="323">
        <f>E6</f>
        <v>2432293.4</v>
      </c>
      <c r="F11" s="323">
        <f>F6</f>
        <v>2700400.4</v>
      </c>
      <c r="G11" s="323">
        <f>G6</f>
        <v>2955416.5</v>
      </c>
    </row>
    <row r="12" spans="1:7" s="235" customFormat="1" ht="15.6" customHeight="1">
      <c r="A12" s="191" t="s">
        <v>260</v>
      </c>
      <c r="B12" s="237">
        <v>0</v>
      </c>
      <c r="C12" s="237">
        <v>0</v>
      </c>
      <c r="D12" s="237">
        <v>0</v>
      </c>
      <c r="E12" s="237">
        <v>0</v>
      </c>
      <c r="F12" s="237">
        <v>0</v>
      </c>
      <c r="G12" s="237">
        <v>0</v>
      </c>
    </row>
    <row r="13" spans="1:7" s="235" customFormat="1" ht="15.6" customHeight="1">
      <c r="A13" s="190" t="s">
        <v>261</v>
      </c>
      <c r="B13" s="236"/>
      <c r="C13" s="236"/>
      <c r="D13" s="236"/>
      <c r="E13" s="236"/>
      <c r="F13" s="236"/>
      <c r="G13" s="236"/>
    </row>
    <row r="14" spans="1:7" s="235" customFormat="1" ht="15.6" customHeight="1">
      <c r="A14" s="191" t="s">
        <v>262</v>
      </c>
      <c r="B14" s="236"/>
      <c r="C14" s="236"/>
      <c r="D14" s="236"/>
      <c r="E14" s="236"/>
      <c r="F14" s="236"/>
      <c r="G14" s="236"/>
    </row>
    <row r="15" spans="1:7" s="235" customFormat="1" ht="15.6" customHeight="1">
      <c r="A15" s="235" t="s">
        <v>263</v>
      </c>
      <c r="B15" s="323">
        <v>446714.6</v>
      </c>
      <c r="C15" s="323">
        <v>723835.4</v>
      </c>
      <c r="D15" s="323">
        <v>907421.8</v>
      </c>
      <c r="E15" s="323">
        <v>1560282.1</v>
      </c>
      <c r="F15" s="323">
        <v>1793858</v>
      </c>
      <c r="G15" s="323">
        <v>1528252</v>
      </c>
    </row>
    <row r="16" spans="1:7" s="235" customFormat="1" ht="15.6" customHeight="1">
      <c r="A16" s="191" t="s">
        <v>264</v>
      </c>
      <c r="B16" s="323"/>
      <c r="C16" s="323"/>
      <c r="D16" s="323"/>
      <c r="E16" s="323"/>
      <c r="F16" s="323"/>
      <c r="G16" s="323"/>
    </row>
    <row r="17" spans="1:7" s="235" customFormat="1" ht="15.6" customHeight="1">
      <c r="A17" s="235" t="s">
        <v>265</v>
      </c>
      <c r="B17" s="343">
        <v>500253.9</v>
      </c>
      <c r="C17" s="343">
        <v>490081.4</v>
      </c>
      <c r="D17" s="343">
        <f>+D11-D15</f>
        <v>595941.80000000005</v>
      </c>
      <c r="E17" s="343">
        <f>+E11-E15</f>
        <v>872011.29999999981</v>
      </c>
      <c r="F17" s="343">
        <f>+F11-F15</f>
        <v>906542.39999999991</v>
      </c>
      <c r="G17" s="343">
        <f>G6-G15</f>
        <v>1427164.5</v>
      </c>
    </row>
    <row r="18" spans="1:7" s="235" customFormat="1" ht="15.6" customHeight="1">
      <c r="A18" s="191" t="s">
        <v>266</v>
      </c>
      <c r="B18" s="236"/>
      <c r="C18" s="236"/>
      <c r="D18" s="236"/>
      <c r="E18" s="236"/>
      <c r="F18" s="236"/>
      <c r="G18" s="236"/>
    </row>
    <row r="19" spans="1:7" s="235" customFormat="1" ht="15.6" customHeight="1">
      <c r="A19" s="235" t="s">
        <v>267</v>
      </c>
      <c r="B19" s="238">
        <v>0</v>
      </c>
      <c r="C19" s="238">
        <v>0</v>
      </c>
      <c r="D19" s="238">
        <v>0</v>
      </c>
      <c r="E19" s="238">
        <v>0</v>
      </c>
      <c r="F19" s="238">
        <v>0</v>
      </c>
      <c r="G19" s="238">
        <v>0</v>
      </c>
    </row>
    <row r="20" spans="1:7" s="235" customFormat="1" ht="15.6" customHeight="1">
      <c r="A20" s="191" t="s">
        <v>268</v>
      </c>
      <c r="B20" s="238">
        <v>0</v>
      </c>
      <c r="C20" s="238">
        <v>0</v>
      </c>
      <c r="D20" s="238">
        <v>0</v>
      </c>
      <c r="E20" s="238">
        <v>0</v>
      </c>
      <c r="F20" s="238">
        <v>0</v>
      </c>
      <c r="G20" s="238">
        <v>0</v>
      </c>
    </row>
    <row r="21" spans="1:7" s="235" customFormat="1" ht="15.6" customHeight="1">
      <c r="A21" s="235" t="s">
        <v>269</v>
      </c>
      <c r="B21" s="238">
        <v>0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</row>
    <row r="22" spans="1:7" s="235" customFormat="1" ht="15" customHeight="1">
      <c r="B22" s="446" t="s">
        <v>474</v>
      </c>
      <c r="C22" s="446"/>
      <c r="D22" s="446"/>
      <c r="E22" s="446"/>
      <c r="F22" s="446"/>
      <c r="G22" s="446"/>
    </row>
    <row r="23" spans="1:7" s="235" customFormat="1" ht="15" customHeight="1">
      <c r="B23" s="447" t="s">
        <v>270</v>
      </c>
      <c r="C23" s="447"/>
      <c r="D23" s="447"/>
      <c r="E23" s="447"/>
      <c r="F23" s="447"/>
      <c r="G23" s="447"/>
    </row>
    <row r="24" spans="1:7" s="235" customFormat="1" ht="15.6" customHeight="1">
      <c r="A24" s="340" t="s">
        <v>271</v>
      </c>
      <c r="B24" s="241">
        <v>93.838453364007407</v>
      </c>
      <c r="C24" s="241">
        <f t="shared" ref="C24:G25" si="1">C6/B6*100</f>
        <v>128.18977611187699</v>
      </c>
      <c r="D24" s="241">
        <f t="shared" si="1"/>
        <v>123.8440393938036</v>
      </c>
      <c r="E24" s="241">
        <f t="shared" si="1"/>
        <v>161.79009522380346</v>
      </c>
      <c r="F24" s="241">
        <f t="shared" si="1"/>
        <v>111.02280670580285</v>
      </c>
      <c r="G24" s="241">
        <f t="shared" si="1"/>
        <v>109.44364028386309</v>
      </c>
    </row>
    <row r="25" spans="1:7" s="235" customFormat="1" ht="15.6" customHeight="1">
      <c r="A25" s="191" t="s">
        <v>255</v>
      </c>
      <c r="B25" s="240">
        <v>95.060542128128006</v>
      </c>
      <c r="C25" s="240">
        <f t="shared" si="1"/>
        <v>128.18977611187699</v>
      </c>
      <c r="D25" s="240">
        <f t="shared" si="1"/>
        <v>123.8440393938036</v>
      </c>
      <c r="E25" s="240">
        <f t="shared" si="1"/>
        <v>161.79009522380346</v>
      </c>
      <c r="F25" s="240">
        <f t="shared" si="1"/>
        <v>111.02280670580285</v>
      </c>
      <c r="G25" s="240">
        <f t="shared" si="1"/>
        <v>109.44364028386309</v>
      </c>
    </row>
    <row r="26" spans="1:7" s="235" customFormat="1" ht="15.6" customHeight="1">
      <c r="A26" s="191" t="s">
        <v>256</v>
      </c>
      <c r="B26" s="240"/>
      <c r="C26" s="240"/>
      <c r="D26" s="240"/>
      <c r="E26" s="240"/>
      <c r="F26" s="240"/>
      <c r="G26" s="240"/>
    </row>
    <row r="27" spans="1:7" s="235" customFormat="1" ht="15.6" customHeight="1">
      <c r="A27" s="190" t="s">
        <v>257</v>
      </c>
      <c r="B27" s="240"/>
      <c r="C27" s="240"/>
      <c r="D27" s="240"/>
      <c r="E27" s="240"/>
      <c r="F27" s="240"/>
      <c r="G27" s="240"/>
    </row>
    <row r="28" spans="1:7" s="235" customFormat="1" ht="15.6" customHeight="1">
      <c r="A28" s="191" t="s">
        <v>258</v>
      </c>
      <c r="B28" s="240"/>
      <c r="C28" s="240"/>
      <c r="D28" s="240"/>
      <c r="E28" s="240"/>
      <c r="F28" s="240"/>
      <c r="G28" s="240"/>
    </row>
    <row r="29" spans="1:7" s="235" customFormat="1" ht="15.6" customHeight="1">
      <c r="A29" s="235" t="s">
        <v>259</v>
      </c>
      <c r="B29" s="240">
        <v>93.991061718449984</v>
      </c>
      <c r="C29" s="240">
        <f>C11/B11*100</f>
        <v>128.18977611187699</v>
      </c>
      <c r="D29" s="240">
        <f>D11/C11*100</f>
        <v>123.8440393938036</v>
      </c>
      <c r="E29" s="240">
        <f>E11/D11*100</f>
        <v>161.79009522380346</v>
      </c>
      <c r="F29" s="240">
        <f>F11/E11*100</f>
        <v>111.02280670580285</v>
      </c>
      <c r="G29" s="240">
        <f>G11/F11*100</f>
        <v>109.44364028386309</v>
      </c>
    </row>
    <row r="30" spans="1:7" s="235" customFormat="1" ht="15.6" customHeight="1">
      <c r="A30" s="191" t="s">
        <v>272</v>
      </c>
      <c r="B30" s="238">
        <v>0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</row>
    <row r="31" spans="1:7" s="235" customFormat="1" ht="15.6" customHeight="1">
      <c r="A31" s="190" t="s">
        <v>261</v>
      </c>
      <c r="B31" s="240"/>
      <c r="C31" s="240"/>
      <c r="D31" s="240"/>
      <c r="E31" s="240"/>
      <c r="F31" s="240"/>
      <c r="G31" s="240"/>
    </row>
    <row r="32" spans="1:7" s="235" customFormat="1" ht="15.6" customHeight="1">
      <c r="A32" s="191" t="s">
        <v>262</v>
      </c>
      <c r="B32" s="240"/>
      <c r="C32" s="240"/>
      <c r="D32" s="240"/>
      <c r="E32" s="240"/>
      <c r="F32" s="240"/>
      <c r="G32" s="240"/>
    </row>
    <row r="33" spans="1:7" s="235" customFormat="1" ht="15.6" customHeight="1">
      <c r="A33" s="235" t="s">
        <v>273</v>
      </c>
      <c r="B33" s="240">
        <v>86.000758522306128</v>
      </c>
      <c r="C33" s="240">
        <f>C15/B15*100</f>
        <v>162.03531292686654</v>
      </c>
      <c r="D33" s="240">
        <f>D15/C15*100</f>
        <v>125.36300379892997</v>
      </c>
      <c r="E33" s="240">
        <f>E15/D15*100</f>
        <v>171.94672863270421</v>
      </c>
      <c r="F33" s="240">
        <f>F15/E15*100</f>
        <v>114.97010700821345</v>
      </c>
      <c r="G33" s="240">
        <f>G15/F15*100</f>
        <v>85.193588344227905</v>
      </c>
    </row>
    <row r="34" spans="1:7" s="235" customFormat="1" ht="15.6" customHeight="1">
      <c r="A34" s="191" t="s">
        <v>264</v>
      </c>
      <c r="B34" s="240"/>
      <c r="C34" s="240"/>
      <c r="D34" s="240"/>
      <c r="E34" s="240"/>
      <c r="F34" s="240"/>
      <c r="G34" s="240"/>
    </row>
    <row r="35" spans="1:7" s="235" customFormat="1" ht="15.6" customHeight="1">
      <c r="A35" s="235" t="s">
        <v>265</v>
      </c>
      <c r="B35" s="240">
        <v>102.15171386879678</v>
      </c>
      <c r="C35" s="240">
        <f>C17/B17*100</f>
        <v>97.966532594748386</v>
      </c>
      <c r="D35" s="240">
        <f>D17/C17*100</f>
        <v>121.60057492490024</v>
      </c>
      <c r="E35" s="240">
        <f>E17/D17*100</f>
        <v>146.32490958009654</v>
      </c>
      <c r="F35" s="240">
        <f>F17/E17*100</f>
        <v>103.95993721640993</v>
      </c>
      <c r="G35" s="240">
        <f>G17/F17*100</f>
        <v>157.42942635667126</v>
      </c>
    </row>
    <row r="36" spans="1:7" s="235" customFormat="1" ht="15.6" customHeight="1">
      <c r="A36" s="191" t="s">
        <v>274</v>
      </c>
      <c r="B36" s="240"/>
      <c r="C36" s="240"/>
      <c r="D36" s="240"/>
      <c r="E36" s="240"/>
      <c r="F36" s="240"/>
      <c r="G36" s="240"/>
    </row>
    <row r="37" spans="1:7" s="235" customFormat="1" ht="15.6" customHeight="1">
      <c r="A37" s="235" t="s">
        <v>275</v>
      </c>
      <c r="B37" s="238">
        <v>0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</row>
    <row r="38" spans="1:7" s="235" customFormat="1" ht="15.6" customHeight="1">
      <c r="A38" s="191" t="s">
        <v>276</v>
      </c>
      <c r="B38" s="238">
        <v>0</v>
      </c>
      <c r="C38" s="238">
        <v>0</v>
      </c>
      <c r="D38" s="238">
        <v>0</v>
      </c>
      <c r="E38" s="238">
        <v>0</v>
      </c>
      <c r="F38" s="238">
        <v>0</v>
      </c>
      <c r="G38" s="238">
        <v>0</v>
      </c>
    </row>
    <row r="39" spans="1:7" s="235" customFormat="1" ht="15.6" customHeight="1">
      <c r="A39" s="242" t="s">
        <v>277</v>
      </c>
      <c r="B39" s="238">
        <v>0</v>
      </c>
      <c r="C39" s="238">
        <v>0</v>
      </c>
      <c r="D39" s="238">
        <v>0</v>
      </c>
      <c r="E39" s="238">
        <v>0</v>
      </c>
      <c r="F39" s="238">
        <v>0</v>
      </c>
      <c r="G39" s="238">
        <v>0</v>
      </c>
    </row>
    <row r="40" spans="1:7" s="235" customFormat="1" ht="8.25" customHeight="1">
      <c r="A40" s="243"/>
      <c r="B40" s="243"/>
      <c r="C40" s="243"/>
      <c r="D40" s="243"/>
      <c r="E40" s="243"/>
      <c r="F40" s="243"/>
      <c r="G40" s="243"/>
    </row>
    <row r="42" spans="1:7" ht="18" hidden="1" customHeight="1">
      <c r="C42" s="245" t="s">
        <v>278</v>
      </c>
      <c r="D42" s="245"/>
      <c r="E42" s="245"/>
      <c r="F42" s="245"/>
      <c r="G42" s="245"/>
    </row>
    <row r="48" spans="1:7" hidden="1">
      <c r="A48" s="148" t="s">
        <v>392</v>
      </c>
      <c r="B48" s="148">
        <f t="shared" ref="B48:E48" si="2">ROUND((B6/1000),1)</f>
        <v>947</v>
      </c>
      <c r="C48" s="148">
        <f t="shared" si="2"/>
        <v>1213.9000000000001</v>
      </c>
      <c r="D48" s="148">
        <f t="shared" si="2"/>
        <v>1503.4</v>
      </c>
      <c r="E48" s="148">
        <f t="shared" si="2"/>
        <v>2432.3000000000002</v>
      </c>
    </row>
    <row r="49" spans="1:5" hidden="1">
      <c r="A49" s="235" t="s">
        <v>259</v>
      </c>
      <c r="B49" s="148">
        <f t="shared" ref="B49:E49" si="3">ROUND((B11/1000),1)</f>
        <v>947</v>
      </c>
      <c r="C49" s="148">
        <f t="shared" si="3"/>
        <v>1213.9000000000001</v>
      </c>
      <c r="D49" s="148">
        <f t="shared" si="3"/>
        <v>1503.4</v>
      </c>
      <c r="E49" s="148">
        <f t="shared" si="3"/>
        <v>2432.3000000000002</v>
      </c>
    </row>
    <row r="50" spans="1:5" hidden="1">
      <c r="A50" s="191" t="s">
        <v>260</v>
      </c>
      <c r="B50" s="148">
        <f t="shared" ref="B50:E50" si="4">B48-B49</f>
        <v>0</v>
      </c>
      <c r="C50" s="148">
        <f t="shared" si="4"/>
        <v>0</v>
      </c>
      <c r="D50" s="148">
        <f t="shared" si="4"/>
        <v>0</v>
      </c>
      <c r="E50" s="148">
        <f t="shared" si="4"/>
        <v>0</v>
      </c>
    </row>
    <row r="51" spans="1:5" hidden="1">
      <c r="A51" s="235" t="s">
        <v>263</v>
      </c>
      <c r="B51" s="148">
        <f t="shared" ref="B51:E51" si="5">ROUND((B15/1000),1)</f>
        <v>446.7</v>
      </c>
      <c r="C51" s="148">
        <f t="shared" si="5"/>
        <v>723.8</v>
      </c>
      <c r="D51" s="148">
        <f t="shared" si="5"/>
        <v>907.4</v>
      </c>
      <c r="E51" s="148">
        <f t="shared" si="5"/>
        <v>1560.3</v>
      </c>
    </row>
    <row r="52" spans="1:5" hidden="1">
      <c r="A52" s="235" t="s">
        <v>265</v>
      </c>
      <c r="B52" s="148">
        <f t="shared" ref="B52:E52" si="6">ROUND((B17/1000),1)</f>
        <v>500.3</v>
      </c>
      <c r="C52" s="148">
        <f t="shared" si="6"/>
        <v>490.1</v>
      </c>
      <c r="D52" s="148">
        <f t="shared" si="6"/>
        <v>595.9</v>
      </c>
      <c r="E52" s="148">
        <f t="shared" si="6"/>
        <v>872</v>
      </c>
    </row>
    <row r="53" spans="1:5" hidden="1">
      <c r="A53" s="235" t="s">
        <v>267</v>
      </c>
      <c r="B53" s="148">
        <f t="shared" ref="B53:E53" si="7">ROUND((B19/1000),1)</f>
        <v>0</v>
      </c>
      <c r="C53" s="148">
        <f t="shared" si="7"/>
        <v>0</v>
      </c>
      <c r="D53" s="148">
        <f t="shared" si="7"/>
        <v>0</v>
      </c>
      <c r="E53" s="148">
        <f t="shared" si="7"/>
        <v>0</v>
      </c>
    </row>
  </sheetData>
  <mergeCells count="2">
    <mergeCell ref="B22:G22"/>
    <mergeCell ref="B23:G23"/>
  </mergeCells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workbookViewId="0">
      <selection activeCell="K29" sqref="K28:K29"/>
    </sheetView>
  </sheetViews>
  <sheetFormatPr defaultColWidth="9.140625" defaultRowHeight="16.5"/>
  <cols>
    <col min="1" max="1" width="34.7109375" style="246" customWidth="1"/>
    <col min="2" max="2" width="9.5703125" style="246" customWidth="1"/>
    <col min="3" max="3" width="9.28515625" style="246" customWidth="1"/>
    <col min="4" max="4" width="10.42578125" style="246" customWidth="1"/>
    <col min="5" max="5" width="10.7109375" style="246" customWidth="1"/>
    <col min="6" max="7" width="10.140625" style="246" customWidth="1"/>
    <col min="8" max="9" width="12.140625" style="246" customWidth="1"/>
    <col min="10" max="16384" width="9.140625" style="246"/>
  </cols>
  <sheetData>
    <row r="1" spans="1:7" ht="21" customHeight="1">
      <c r="A1" s="448" t="s">
        <v>408</v>
      </c>
      <c r="B1" s="448"/>
      <c r="C1" s="448"/>
      <c r="D1" s="448"/>
      <c r="E1" s="448"/>
      <c r="F1" s="448"/>
    </row>
    <row r="2" spans="1:7" ht="15.75" customHeight="1">
      <c r="A2" s="420" t="s">
        <v>385</v>
      </c>
    </row>
    <row r="3" spans="1:7" ht="11.25" customHeight="1">
      <c r="A3" s="247"/>
    </row>
    <row r="4" spans="1:7" s="248" customFormat="1" ht="15.75" customHeight="1">
      <c r="A4" s="300"/>
      <c r="B4" s="301"/>
      <c r="C4" s="301"/>
      <c r="D4" s="301"/>
      <c r="E4" s="301"/>
      <c r="F4" s="301"/>
      <c r="G4" s="299" t="s">
        <v>253</v>
      </c>
    </row>
    <row r="5" spans="1:7" s="248" customFormat="1" ht="17.100000000000001" customHeight="1">
      <c r="A5" s="249"/>
      <c r="B5" s="250">
        <v>2016</v>
      </c>
      <c r="C5" s="250">
        <v>2017</v>
      </c>
      <c r="D5" s="250">
        <v>2018</v>
      </c>
      <c r="E5" s="250">
        <v>2019</v>
      </c>
      <c r="F5" s="250">
        <v>2020</v>
      </c>
      <c r="G5" s="250">
        <v>2021</v>
      </c>
    </row>
    <row r="6" spans="1:7" s="248" customFormat="1" ht="13.5" customHeight="1">
      <c r="A6" s="251" t="s">
        <v>279</v>
      </c>
      <c r="B6" s="404">
        <f t="shared" ref="B6:C6" si="0">+B15+B20</f>
        <v>918898.3</v>
      </c>
      <c r="C6" s="404">
        <f t="shared" si="0"/>
        <v>815300.3</v>
      </c>
      <c r="D6" s="404">
        <f>+D15+D20</f>
        <v>1928351.5999999999</v>
      </c>
      <c r="E6" s="404">
        <v>3114746.4</v>
      </c>
      <c r="F6" s="404">
        <v>2977922.8</v>
      </c>
      <c r="G6" s="404">
        <v>3193414.3</v>
      </c>
    </row>
    <row r="7" spans="1:7" s="248" customFormat="1" ht="14.25" customHeight="1">
      <c r="A7" s="252" t="s">
        <v>280</v>
      </c>
      <c r="B7" s="405">
        <v>918898.3</v>
      </c>
      <c r="C7" s="405">
        <v>815300.3</v>
      </c>
      <c r="D7" s="405">
        <f>D6</f>
        <v>1928351.5999999999</v>
      </c>
      <c r="E7" s="405">
        <v>3114746.4</v>
      </c>
      <c r="F7" s="405">
        <f>F6</f>
        <v>2977922.8</v>
      </c>
      <c r="G7" s="405">
        <f>G6</f>
        <v>3193414.3</v>
      </c>
    </row>
    <row r="8" spans="1:7" s="248" customFormat="1" ht="13.5" customHeight="1">
      <c r="A8" s="252" t="s">
        <v>281</v>
      </c>
      <c r="B8" s="405"/>
      <c r="C8" s="405"/>
      <c r="D8" s="405"/>
      <c r="E8" s="405"/>
      <c r="F8" s="405"/>
      <c r="G8" s="405"/>
    </row>
    <row r="9" spans="1:7" s="248" customFormat="1" ht="13.5" customHeight="1">
      <c r="A9" s="254" t="s">
        <v>257</v>
      </c>
      <c r="B9" s="405"/>
      <c r="C9" s="405"/>
      <c r="D9" s="405"/>
      <c r="E9" s="405"/>
      <c r="F9" s="405"/>
      <c r="G9" s="405"/>
    </row>
    <row r="10" spans="1:7" s="248" customFormat="1" ht="13.5" customHeight="1">
      <c r="A10" s="252" t="s">
        <v>282</v>
      </c>
      <c r="B10" s="405"/>
      <c r="C10" s="405"/>
      <c r="D10" s="405"/>
      <c r="E10" s="405"/>
      <c r="F10" s="405"/>
      <c r="G10" s="405"/>
    </row>
    <row r="11" spans="1:7" s="248" customFormat="1" ht="13.5" customHeight="1">
      <c r="A11" s="248" t="s">
        <v>283</v>
      </c>
      <c r="B11" s="405">
        <f t="shared" ref="B11:F11" si="1">B6</f>
        <v>918898.3</v>
      </c>
      <c r="C11" s="405">
        <f t="shared" si="1"/>
        <v>815300.3</v>
      </c>
      <c r="D11" s="405">
        <f t="shared" si="1"/>
        <v>1928351.5999999999</v>
      </c>
      <c r="E11" s="405">
        <f t="shared" si="1"/>
        <v>3114746.4</v>
      </c>
      <c r="F11" s="405">
        <f t="shared" si="1"/>
        <v>2977922.8</v>
      </c>
      <c r="G11" s="405">
        <f>G6</f>
        <v>3193414.3</v>
      </c>
    </row>
    <row r="12" spans="1:7" s="248" customFormat="1" ht="13.5" customHeight="1">
      <c r="A12" s="252" t="s">
        <v>284</v>
      </c>
      <c r="B12" s="406">
        <v>0</v>
      </c>
      <c r="C12" s="406">
        <v>0</v>
      </c>
      <c r="D12" s="406">
        <v>0</v>
      </c>
      <c r="E12" s="406">
        <v>0</v>
      </c>
      <c r="F12" s="406">
        <v>0</v>
      </c>
      <c r="G12" s="406">
        <v>0</v>
      </c>
    </row>
    <row r="13" spans="1:7" s="248" customFormat="1" ht="13.5" customHeight="1">
      <c r="A13" s="254" t="s">
        <v>261</v>
      </c>
      <c r="B13" s="405" t="str">
        <f t="shared" ref="B13:G13" si="2">IF(B6-SUM(B16:B20)=0,"  ","sai")</f>
        <v xml:space="preserve">  </v>
      </c>
      <c r="C13" s="405" t="str">
        <f t="shared" si="2"/>
        <v xml:space="preserve">  </v>
      </c>
      <c r="D13" s="405" t="str">
        <f t="shared" si="2"/>
        <v xml:space="preserve">  </v>
      </c>
      <c r="E13" s="405" t="str">
        <f t="shared" si="2"/>
        <v xml:space="preserve">  </v>
      </c>
      <c r="F13" s="405" t="str">
        <f t="shared" si="2"/>
        <v xml:space="preserve">  </v>
      </c>
      <c r="G13" s="405" t="str">
        <f t="shared" si="2"/>
        <v xml:space="preserve">  </v>
      </c>
    </row>
    <row r="14" spans="1:7" s="248" customFormat="1" ht="13.5" customHeight="1">
      <c r="A14" s="252" t="s">
        <v>262</v>
      </c>
      <c r="B14" s="405"/>
      <c r="C14" s="405"/>
      <c r="D14" s="405"/>
      <c r="E14" s="405"/>
      <c r="F14" s="405"/>
      <c r="G14" s="405"/>
    </row>
    <row r="15" spans="1:7" s="248" customFormat="1" ht="13.5" customHeight="1">
      <c r="A15" s="254" t="s">
        <v>285</v>
      </c>
      <c r="B15" s="404">
        <f t="shared" ref="B15:E15" si="3">+B16+B18</f>
        <v>765823.4</v>
      </c>
      <c r="C15" s="404">
        <f t="shared" si="3"/>
        <v>697790.5</v>
      </c>
      <c r="D15" s="404">
        <f t="shared" si="3"/>
        <v>1781181.2</v>
      </c>
      <c r="E15" s="404">
        <f t="shared" si="3"/>
        <v>2924167.8</v>
      </c>
      <c r="F15" s="404">
        <f>+F6-F20</f>
        <v>2697842</v>
      </c>
      <c r="G15" s="404">
        <f>+G6-G20</f>
        <v>2844782.3</v>
      </c>
    </row>
    <row r="16" spans="1:7" s="248" customFormat="1" ht="13.5" customHeight="1">
      <c r="A16" s="248" t="s">
        <v>286</v>
      </c>
      <c r="B16" s="405">
        <v>158424.5</v>
      </c>
      <c r="C16" s="405">
        <v>73141.100000000006</v>
      </c>
      <c r="D16" s="405">
        <v>720925.5</v>
      </c>
      <c r="E16" s="405">
        <v>929202.99999999977</v>
      </c>
      <c r="F16" s="405">
        <f>+F15-F18</f>
        <v>1002349</v>
      </c>
      <c r="G16" s="405">
        <f>+G15-G18</f>
        <v>1114872.9999999998</v>
      </c>
    </row>
    <row r="17" spans="1:12" s="248" customFormat="1" ht="13.5" customHeight="1">
      <c r="A17" s="252" t="s">
        <v>287</v>
      </c>
      <c r="B17" s="405"/>
      <c r="C17" s="405"/>
      <c r="D17" s="405"/>
      <c r="E17" s="405"/>
      <c r="F17" s="405"/>
      <c r="G17" s="405"/>
    </row>
    <row r="18" spans="1:12" s="248" customFormat="1" ht="13.5" customHeight="1">
      <c r="A18" s="248" t="s">
        <v>288</v>
      </c>
      <c r="B18" s="405">
        <v>607398.9</v>
      </c>
      <c r="C18" s="405">
        <v>624649.4</v>
      </c>
      <c r="D18" s="405">
        <v>1060255.7</v>
      </c>
      <c r="E18" s="405">
        <v>1994964.8</v>
      </c>
      <c r="F18" s="405">
        <f>460767+1234726</f>
        <v>1695493</v>
      </c>
      <c r="G18" s="405">
        <f>812406.3+917503</f>
        <v>1729909.3</v>
      </c>
      <c r="H18" s="253"/>
      <c r="I18" s="253"/>
      <c r="J18" s="253"/>
      <c r="K18" s="253"/>
      <c r="L18" s="253"/>
    </row>
    <row r="19" spans="1:12" s="248" customFormat="1" ht="13.5" customHeight="1">
      <c r="A19" s="252" t="s">
        <v>289</v>
      </c>
      <c r="B19" s="405"/>
      <c r="C19" s="405"/>
      <c r="D19" s="405"/>
      <c r="E19" s="405"/>
      <c r="F19" s="405"/>
      <c r="G19" s="405"/>
      <c r="H19" s="253"/>
      <c r="I19" s="253"/>
    </row>
    <row r="20" spans="1:12" s="248" customFormat="1" ht="13.5" customHeight="1">
      <c r="A20" s="254" t="s">
        <v>290</v>
      </c>
      <c r="B20" s="407">
        <f>+B21+B22+B23+B24</f>
        <v>153074.9</v>
      </c>
      <c r="C20" s="407">
        <f t="shared" ref="C20:G20" si="4">+C21+C22+C23+C24</f>
        <v>117509.8</v>
      </c>
      <c r="D20" s="407">
        <f t="shared" si="4"/>
        <v>147170.4</v>
      </c>
      <c r="E20" s="407">
        <f t="shared" si="4"/>
        <v>190578.6</v>
      </c>
      <c r="F20" s="407">
        <f t="shared" si="4"/>
        <v>280080.8</v>
      </c>
      <c r="G20" s="407">
        <f t="shared" si="4"/>
        <v>348632</v>
      </c>
    </row>
    <row r="21" spans="1:12" s="248" customFormat="1" ht="13.5" customHeight="1">
      <c r="A21" s="248" t="s">
        <v>291</v>
      </c>
      <c r="B21" s="406">
        <v>0</v>
      </c>
      <c r="C21" s="406">
        <v>0</v>
      </c>
      <c r="D21" s="406">
        <v>0</v>
      </c>
      <c r="E21" s="406">
        <v>0</v>
      </c>
      <c r="F21" s="406">
        <v>0</v>
      </c>
      <c r="G21" s="406">
        <v>0</v>
      </c>
    </row>
    <row r="22" spans="1:12" s="248" customFormat="1" ht="13.5" customHeight="1">
      <c r="A22" s="248" t="s">
        <v>292</v>
      </c>
      <c r="B22" s="406">
        <v>0</v>
      </c>
      <c r="C22" s="406">
        <v>0</v>
      </c>
      <c r="D22" s="406">
        <v>0</v>
      </c>
      <c r="E22" s="406">
        <v>1935</v>
      </c>
      <c r="F22" s="406">
        <v>0</v>
      </c>
      <c r="G22" s="406">
        <v>0</v>
      </c>
    </row>
    <row r="23" spans="1:12" s="248" customFormat="1" ht="27" customHeight="1">
      <c r="A23" s="255" t="s">
        <v>293</v>
      </c>
      <c r="B23" s="405">
        <v>2055.3000000000002</v>
      </c>
      <c r="C23" s="406">
        <v>0</v>
      </c>
      <c r="D23" s="408">
        <v>189</v>
      </c>
      <c r="E23" s="405">
        <v>1113</v>
      </c>
      <c r="F23" s="406">
        <v>0</v>
      </c>
      <c r="G23" s="406">
        <v>0</v>
      </c>
    </row>
    <row r="24" spans="1:12" s="248" customFormat="1" ht="13.5" customHeight="1">
      <c r="A24" s="248" t="s">
        <v>294</v>
      </c>
      <c r="B24" s="405">
        <v>151019.6</v>
      </c>
      <c r="C24" s="405">
        <v>117509.8</v>
      </c>
      <c r="D24" s="405">
        <v>146981.4</v>
      </c>
      <c r="E24" s="405">
        <v>187530.6</v>
      </c>
      <c r="F24" s="405">
        <v>280080.8</v>
      </c>
      <c r="G24" s="405">
        <v>348632</v>
      </c>
    </row>
    <row r="25" spans="1:12" s="248" customFormat="1" ht="16.5" customHeight="1">
      <c r="A25" s="256"/>
      <c r="B25" s="446" t="s">
        <v>474</v>
      </c>
      <c r="C25" s="446"/>
      <c r="D25" s="446"/>
      <c r="E25" s="446"/>
      <c r="F25" s="446"/>
      <c r="G25" s="446"/>
    </row>
    <row r="26" spans="1:12" s="248" customFormat="1" ht="16.5" customHeight="1">
      <c r="A26" s="251"/>
      <c r="B26" s="447" t="s">
        <v>270</v>
      </c>
      <c r="C26" s="447"/>
      <c r="D26" s="447"/>
      <c r="E26" s="447"/>
      <c r="F26" s="447"/>
      <c r="G26" s="447"/>
    </row>
    <row r="27" spans="1:12" s="248" customFormat="1" ht="18" customHeight="1">
      <c r="A27" s="251" t="s">
        <v>295</v>
      </c>
      <c r="B27" s="308">
        <v>94.53138671083147</v>
      </c>
      <c r="C27" s="308">
        <f t="shared" ref="C27:G27" si="5">C6/B6*100</f>
        <v>88.725847027902873</v>
      </c>
      <c r="D27" s="308">
        <f t="shared" si="5"/>
        <v>236.52040849242906</v>
      </c>
      <c r="E27" s="308">
        <f t="shared" si="5"/>
        <v>161.52378020688758</v>
      </c>
      <c r="F27" s="308">
        <f t="shared" si="5"/>
        <v>95.607231458715219</v>
      </c>
      <c r="G27" s="308">
        <f t="shared" si="5"/>
        <v>107.23630243201738</v>
      </c>
    </row>
    <row r="28" spans="1:12" s="248" customFormat="1" ht="15.75" customHeight="1">
      <c r="A28" s="252" t="s">
        <v>280</v>
      </c>
      <c r="B28" s="309">
        <v>95.26655297002246</v>
      </c>
      <c r="C28" s="309">
        <f t="shared" ref="C28" si="6">C7/B7*100</f>
        <v>88.725847027902873</v>
      </c>
      <c r="D28" s="309">
        <f t="shared" ref="D28:G28" si="7">D7/C7*100</f>
        <v>236.52040849242906</v>
      </c>
      <c r="E28" s="309">
        <f t="shared" si="7"/>
        <v>161.52378020688758</v>
      </c>
      <c r="F28" s="309">
        <f t="shared" si="7"/>
        <v>95.607231458715219</v>
      </c>
      <c r="G28" s="309">
        <f t="shared" si="7"/>
        <v>107.23630243201738</v>
      </c>
    </row>
    <row r="29" spans="1:12" s="248" customFormat="1" ht="13.5" customHeight="1">
      <c r="A29" s="252" t="s">
        <v>281</v>
      </c>
      <c r="B29" s="309"/>
      <c r="C29" s="309"/>
      <c r="D29" s="309"/>
      <c r="E29" s="309"/>
      <c r="F29" s="309"/>
      <c r="G29" s="309"/>
    </row>
    <row r="30" spans="1:12" s="248" customFormat="1" ht="13.5" customHeight="1">
      <c r="A30" s="254" t="s">
        <v>296</v>
      </c>
      <c r="B30" s="309"/>
      <c r="C30" s="309"/>
      <c r="D30" s="309"/>
      <c r="E30" s="309"/>
      <c r="F30" s="309"/>
      <c r="G30" s="309"/>
    </row>
    <row r="31" spans="1:12" s="248" customFormat="1" ht="13.5" customHeight="1">
      <c r="A31" s="248" t="s">
        <v>283</v>
      </c>
      <c r="B31" s="309">
        <v>94.538291885690043</v>
      </c>
      <c r="C31" s="309">
        <f t="shared" ref="C31:G31" si="8">C11/B11*100</f>
        <v>88.725847027902873</v>
      </c>
      <c r="D31" s="309">
        <f t="shared" si="8"/>
        <v>236.52040849242906</v>
      </c>
      <c r="E31" s="309">
        <f t="shared" si="8"/>
        <v>161.52378020688758</v>
      </c>
      <c r="F31" s="309">
        <f t="shared" si="8"/>
        <v>95.607231458715219</v>
      </c>
      <c r="G31" s="309">
        <f t="shared" si="8"/>
        <v>107.23630243201738</v>
      </c>
    </row>
    <row r="32" spans="1:12" s="248" customFormat="1" ht="13.5" customHeight="1">
      <c r="A32" s="252" t="s">
        <v>297</v>
      </c>
      <c r="B32" s="310">
        <v>0</v>
      </c>
      <c r="C32" s="310">
        <v>0</v>
      </c>
      <c r="D32" s="310">
        <v>0</v>
      </c>
      <c r="E32" s="310">
        <v>0</v>
      </c>
      <c r="F32" s="310">
        <v>0</v>
      </c>
      <c r="G32" s="310">
        <v>0</v>
      </c>
    </row>
    <row r="33" spans="1:7" s="248" customFormat="1" ht="13.5" customHeight="1">
      <c r="A33" s="254" t="s">
        <v>298</v>
      </c>
      <c r="B33" s="309"/>
      <c r="C33" s="309"/>
      <c r="D33" s="309"/>
      <c r="E33" s="309"/>
      <c r="F33" s="309"/>
      <c r="G33" s="309"/>
    </row>
    <row r="34" spans="1:7" s="248" customFormat="1" ht="13.5" customHeight="1">
      <c r="A34" s="254" t="s">
        <v>285</v>
      </c>
      <c r="B34" s="335">
        <v>96.411518822773019</v>
      </c>
      <c r="C34" s="335">
        <f t="shared" ref="C34" si="9">C15/B15*100</f>
        <v>91.116372260236503</v>
      </c>
      <c r="D34" s="335">
        <f t="shared" ref="D34:G34" si="10">D15/C15*100</f>
        <v>255.2601676291093</v>
      </c>
      <c r="E34" s="335">
        <f t="shared" si="10"/>
        <v>164.17014731572507</v>
      </c>
      <c r="F34" s="335">
        <f t="shared" si="10"/>
        <v>92.260163729318137</v>
      </c>
      <c r="G34" s="335">
        <f t="shared" si="10"/>
        <v>105.44658656807921</v>
      </c>
    </row>
    <row r="35" spans="1:7" s="248" customFormat="1" ht="13.5" customHeight="1">
      <c r="A35" s="248" t="s">
        <v>286</v>
      </c>
      <c r="B35" s="309">
        <v>73.027244076557963</v>
      </c>
      <c r="C35" s="309">
        <f t="shared" ref="C35:G35" si="11">C16/B16*100</f>
        <v>46.167796016398981</v>
      </c>
      <c r="D35" s="375">
        <f t="shared" si="11"/>
        <v>985.66401106901583</v>
      </c>
      <c r="E35" s="309">
        <f t="shared" si="11"/>
        <v>128.89029448951379</v>
      </c>
      <c r="F35" s="309">
        <f t="shared" si="11"/>
        <v>107.87190743034625</v>
      </c>
      <c r="G35" s="309">
        <f t="shared" si="11"/>
        <v>111.22603005539983</v>
      </c>
    </row>
    <row r="36" spans="1:7" s="248" customFormat="1" ht="13.5" customHeight="1">
      <c r="A36" s="252" t="s">
        <v>287</v>
      </c>
      <c r="B36" s="309"/>
      <c r="C36" s="309"/>
      <c r="D36" s="309"/>
      <c r="E36" s="309"/>
      <c r="F36" s="309"/>
      <c r="G36" s="309"/>
    </row>
    <row r="37" spans="1:7" s="248" customFormat="1" ht="13.5" customHeight="1">
      <c r="A37" s="248" t="s">
        <v>288</v>
      </c>
      <c r="B37" s="309">
        <v>105.19755492312979</v>
      </c>
      <c r="C37" s="309">
        <f t="shared" ref="C37:G37" si="12">C18/B18*100</f>
        <v>102.84006111963653</v>
      </c>
      <c r="D37" s="309">
        <f t="shared" si="12"/>
        <v>169.73612717790169</v>
      </c>
      <c r="E37" s="309">
        <f t="shared" si="12"/>
        <v>188.15883753324789</v>
      </c>
      <c r="F37" s="309">
        <f t="shared" si="12"/>
        <v>84.988617343022781</v>
      </c>
      <c r="G37" s="309">
        <f t="shared" si="12"/>
        <v>102.02986977828867</v>
      </c>
    </row>
    <row r="38" spans="1:7" s="248" customFormat="1" ht="13.5" customHeight="1">
      <c r="A38" s="252" t="s">
        <v>289</v>
      </c>
      <c r="B38" s="309"/>
      <c r="C38" s="309"/>
      <c r="D38" s="309"/>
      <c r="E38" s="309"/>
      <c r="F38" s="309"/>
      <c r="G38" s="309"/>
    </row>
    <row r="39" spans="1:7" s="248" customFormat="1" ht="13.5" customHeight="1">
      <c r="A39" s="254" t="s">
        <v>290</v>
      </c>
      <c r="B39" s="336">
        <v>86.128456534288787</v>
      </c>
      <c r="C39" s="336">
        <f t="shared" ref="C39" si="13">C20/B20*100</f>
        <v>76.766210528309998</v>
      </c>
      <c r="D39" s="336">
        <f t="shared" ref="D39:G39" si="14">D20/C20*100</f>
        <v>125.24095862642946</v>
      </c>
      <c r="E39" s="336">
        <f t="shared" si="14"/>
        <v>129.49519740382578</v>
      </c>
      <c r="F39" s="336">
        <f t="shared" si="14"/>
        <v>146.9634051252344</v>
      </c>
      <c r="G39" s="336">
        <f t="shared" si="14"/>
        <v>124.4755084961197</v>
      </c>
    </row>
    <row r="40" spans="1:7" s="248" customFormat="1" ht="13.5" customHeight="1">
      <c r="A40" s="248" t="s">
        <v>299</v>
      </c>
      <c r="B40" s="310">
        <v>0</v>
      </c>
      <c r="C40" s="310">
        <v>0</v>
      </c>
      <c r="D40" s="310">
        <v>0</v>
      </c>
      <c r="E40" s="310">
        <v>0</v>
      </c>
      <c r="F40" s="310">
        <v>0</v>
      </c>
      <c r="G40" s="310">
        <v>0</v>
      </c>
    </row>
    <row r="41" spans="1:7" s="248" customFormat="1" ht="13.5" customHeight="1">
      <c r="A41" s="248" t="s">
        <v>292</v>
      </c>
      <c r="B41" s="310">
        <v>0</v>
      </c>
      <c r="C41" s="310">
        <v>0</v>
      </c>
      <c r="D41" s="310">
        <v>0</v>
      </c>
      <c r="E41" s="310">
        <v>0</v>
      </c>
      <c r="F41" s="310">
        <v>0</v>
      </c>
      <c r="G41" s="310">
        <v>0</v>
      </c>
    </row>
    <row r="42" spans="1:7" s="248" customFormat="1" ht="25.5">
      <c r="A42" s="257" t="s">
        <v>300</v>
      </c>
      <c r="B42" s="311">
        <v>72.633141322401684</v>
      </c>
      <c r="C42" s="311">
        <f t="shared" ref="C42:G43" si="15">C23/B23*100</f>
        <v>0</v>
      </c>
      <c r="D42" s="310">
        <v>0</v>
      </c>
      <c r="E42" s="311">
        <f t="shared" si="15"/>
        <v>588.88888888888891</v>
      </c>
      <c r="F42" s="311">
        <f t="shared" si="15"/>
        <v>0</v>
      </c>
      <c r="G42" s="310">
        <v>0</v>
      </c>
    </row>
    <row r="43" spans="1:7" s="248" customFormat="1" ht="15.75" customHeight="1">
      <c r="A43" s="258" t="s">
        <v>301</v>
      </c>
      <c r="B43" s="311">
        <v>86.346798064481831</v>
      </c>
      <c r="C43" s="311">
        <f t="shared" si="15"/>
        <v>77.810959637027239</v>
      </c>
      <c r="D43" s="311">
        <f t="shared" si="15"/>
        <v>125.08012097714402</v>
      </c>
      <c r="E43" s="311">
        <f t="shared" si="15"/>
        <v>127.58798051998417</v>
      </c>
      <c r="F43" s="311">
        <f t="shared" si="15"/>
        <v>149.35205241171306</v>
      </c>
      <c r="G43" s="311">
        <f t="shared" si="15"/>
        <v>124.4755084961197</v>
      </c>
    </row>
    <row r="44" spans="1:7" ht="5.25" customHeight="1">
      <c r="A44" s="259"/>
      <c r="B44" s="259"/>
      <c r="C44" s="259"/>
      <c r="D44" s="259"/>
      <c r="E44" s="259"/>
      <c r="F44" s="259"/>
      <c r="G44" s="259"/>
    </row>
    <row r="45" spans="1:7" ht="27" hidden="1" customHeight="1">
      <c r="A45" s="260" t="s">
        <v>302</v>
      </c>
    </row>
  </sheetData>
  <mergeCells count="3">
    <mergeCell ref="A1:F1"/>
    <mergeCell ref="B25:G25"/>
    <mergeCell ref="B26:G26"/>
  </mergeCells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9" workbookViewId="0">
      <selection activeCell="C1" sqref="C1:R1048576"/>
    </sheetView>
  </sheetViews>
  <sheetFormatPr defaultColWidth="10.28515625" defaultRowHeight="15"/>
  <cols>
    <col min="1" max="1" width="30" style="153" customWidth="1"/>
    <col min="2" max="2" width="10.28515625" style="153" customWidth="1"/>
    <col min="3" max="3" width="9.28515625" style="153" customWidth="1"/>
    <col min="4" max="4" width="9.140625" style="153" customWidth="1"/>
    <col min="5" max="5" width="8.28515625" style="153" customWidth="1"/>
    <col min="6" max="6" width="9" style="153" customWidth="1"/>
    <col min="7" max="11" width="9.28515625" style="153" customWidth="1"/>
    <col min="12" max="16384" width="10.28515625" style="153"/>
  </cols>
  <sheetData>
    <row r="1" spans="1:8" s="148" customFormat="1" ht="30" customHeight="1">
      <c r="A1" s="244" t="s">
        <v>409</v>
      </c>
      <c r="B1" s="244"/>
    </row>
    <row r="2" spans="1:8" s="148" customFormat="1" ht="18.95" customHeight="1">
      <c r="A2" s="261" t="s">
        <v>386</v>
      </c>
      <c r="B2" s="261"/>
    </row>
    <row r="3" spans="1:8" s="148" customFormat="1" ht="15" customHeight="1">
      <c r="A3" s="262"/>
      <c r="B3" s="262"/>
    </row>
    <row r="4" spans="1:8" s="148" customFormat="1" ht="18" customHeight="1">
      <c r="A4" s="298"/>
      <c r="B4" s="298"/>
      <c r="C4" s="288"/>
      <c r="D4" s="288"/>
      <c r="E4" s="288"/>
      <c r="F4" s="288"/>
      <c r="G4" s="288"/>
      <c r="H4" s="288"/>
    </row>
    <row r="5" spans="1:8" s="235" customFormat="1" ht="18" customHeight="1">
      <c r="A5" s="150"/>
      <c r="B5" s="302" t="s">
        <v>303</v>
      </c>
      <c r="C5" s="232">
        <v>2016</v>
      </c>
      <c r="D5" s="233">
        <v>2017</v>
      </c>
      <c r="E5" s="290">
        <v>2018</v>
      </c>
      <c r="F5" s="337">
        <v>2019</v>
      </c>
      <c r="G5" s="391">
        <v>2020</v>
      </c>
      <c r="H5" s="412">
        <v>2021</v>
      </c>
    </row>
    <row r="6" spans="1:8" s="235" customFormat="1" ht="15" customHeight="1">
      <c r="A6" s="275"/>
      <c r="B6" s="266"/>
      <c r="C6" s="324"/>
      <c r="D6" s="324"/>
      <c r="E6" s="324"/>
      <c r="F6" s="324"/>
      <c r="G6" s="324"/>
      <c r="H6" s="324"/>
    </row>
    <row r="7" spans="1:8" s="235" customFormat="1" ht="15" customHeight="1">
      <c r="A7" s="278" t="s">
        <v>304</v>
      </c>
      <c r="B7" s="265" t="s">
        <v>305</v>
      </c>
      <c r="C7" s="276">
        <v>222</v>
      </c>
      <c r="D7" s="276">
        <v>33</v>
      </c>
      <c r="E7" s="276">
        <v>284.8</v>
      </c>
      <c r="F7" s="276">
        <v>37.799999999999997</v>
      </c>
      <c r="G7" s="276">
        <v>36.200000000000003</v>
      </c>
      <c r="H7" s="276">
        <v>12.6</v>
      </c>
    </row>
    <row r="8" spans="1:8" s="235" customFormat="1" ht="16.5" customHeight="1">
      <c r="A8" s="326" t="s">
        <v>306</v>
      </c>
      <c r="B8" s="266" t="s">
        <v>307</v>
      </c>
      <c r="C8" s="324"/>
      <c r="D8" s="324"/>
      <c r="E8" s="324"/>
      <c r="F8" s="324"/>
      <c r="G8" s="324"/>
      <c r="H8" s="324"/>
    </row>
    <row r="9" spans="1:8" s="235" customFormat="1" ht="17.100000000000001" customHeight="1">
      <c r="A9" s="278" t="s">
        <v>308</v>
      </c>
      <c r="B9" s="265" t="s">
        <v>309</v>
      </c>
      <c r="C9" s="276">
        <v>462</v>
      </c>
      <c r="D9" s="276">
        <v>655</v>
      </c>
      <c r="E9" s="276">
        <v>295.60000000000002</v>
      </c>
      <c r="F9" s="276">
        <v>233.6</v>
      </c>
      <c r="G9" s="276">
        <v>123.4</v>
      </c>
      <c r="H9" s="276">
        <v>166.3</v>
      </c>
    </row>
    <row r="10" spans="1:8" s="235" customFormat="1" ht="17.100000000000001" customHeight="1">
      <c r="A10" s="328" t="s">
        <v>310</v>
      </c>
      <c r="B10" s="321" t="s">
        <v>436</v>
      </c>
      <c r="C10" s="276"/>
      <c r="D10" s="276"/>
      <c r="E10" s="276"/>
      <c r="F10" s="276"/>
      <c r="G10" s="276"/>
      <c r="H10" s="276"/>
    </row>
    <row r="11" spans="1:8" s="235" customFormat="1" ht="17.100000000000001" hidden="1" customHeight="1">
      <c r="A11" s="330" t="s">
        <v>311</v>
      </c>
      <c r="B11" s="268" t="s">
        <v>312</v>
      </c>
      <c r="C11" s="325"/>
      <c r="D11" s="325"/>
      <c r="E11" s="325"/>
      <c r="F11" s="325"/>
      <c r="G11" s="325"/>
      <c r="H11" s="325"/>
    </row>
    <row r="12" spans="1:8" s="235" customFormat="1" ht="17.100000000000001" hidden="1" customHeight="1">
      <c r="A12" s="331" t="s">
        <v>313</v>
      </c>
      <c r="B12" s="269" t="s">
        <v>314</v>
      </c>
      <c r="C12" s="276"/>
      <c r="D12" s="276"/>
      <c r="E12" s="276"/>
      <c r="F12" s="276"/>
      <c r="G12" s="276"/>
      <c r="H12" s="276"/>
    </row>
    <row r="13" spans="1:8" s="235" customFormat="1" ht="17.100000000000001" customHeight="1">
      <c r="A13" s="278" t="s">
        <v>315</v>
      </c>
      <c r="B13" s="265" t="s">
        <v>312</v>
      </c>
      <c r="C13" s="276">
        <v>230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</row>
    <row r="14" spans="1:8" s="235" customFormat="1" ht="17.100000000000001" customHeight="1">
      <c r="A14" s="326" t="s">
        <v>316</v>
      </c>
      <c r="B14" s="321" t="s">
        <v>439</v>
      </c>
      <c r="C14" s="276"/>
      <c r="D14" s="276"/>
      <c r="E14" s="276"/>
      <c r="F14" s="276"/>
      <c r="G14" s="276"/>
      <c r="H14" s="276"/>
    </row>
    <row r="15" spans="1:8" s="235" customFormat="1" ht="17.100000000000001" hidden="1" customHeight="1">
      <c r="A15" s="330" t="s">
        <v>317</v>
      </c>
      <c r="B15" s="268" t="s">
        <v>318</v>
      </c>
      <c r="C15" s="325"/>
      <c r="D15" s="325"/>
      <c r="E15" s="325"/>
      <c r="F15" s="325"/>
      <c r="G15" s="325"/>
      <c r="H15" s="325"/>
    </row>
    <row r="16" spans="1:8" s="235" customFormat="1" ht="17.100000000000001" hidden="1" customHeight="1">
      <c r="A16" s="330" t="s">
        <v>319</v>
      </c>
      <c r="B16" s="268" t="s">
        <v>320</v>
      </c>
      <c r="C16" s="276"/>
      <c r="D16" s="276"/>
      <c r="E16" s="276"/>
      <c r="F16" s="276"/>
      <c r="G16" s="276"/>
      <c r="H16" s="276"/>
    </row>
    <row r="17" spans="1:8" s="235" customFormat="1" ht="17.100000000000001" customHeight="1">
      <c r="A17" s="278" t="s">
        <v>321</v>
      </c>
      <c r="B17" s="265" t="s">
        <v>322</v>
      </c>
      <c r="C17" s="276">
        <v>486</v>
      </c>
      <c r="D17" s="276">
        <v>1074</v>
      </c>
      <c r="E17" s="276">
        <v>1127.4000000000001</v>
      </c>
      <c r="F17" s="276">
        <v>487.4</v>
      </c>
      <c r="G17" s="276">
        <v>1228.0999999999999</v>
      </c>
      <c r="H17" s="276">
        <v>2175</v>
      </c>
    </row>
    <row r="18" spans="1:8" s="235" customFormat="1" ht="17.100000000000001" customHeight="1">
      <c r="A18" s="333" t="s">
        <v>323</v>
      </c>
      <c r="B18" s="409" t="s">
        <v>436</v>
      </c>
      <c r="C18" s="276"/>
      <c r="D18" s="276"/>
      <c r="E18" s="276"/>
      <c r="F18" s="276"/>
      <c r="G18" s="276"/>
      <c r="H18" s="276"/>
    </row>
    <row r="19" spans="1:8" s="235" customFormat="1" ht="17.100000000000001" hidden="1" customHeight="1">
      <c r="A19" s="278" t="s">
        <v>324</v>
      </c>
      <c r="B19" s="265" t="s">
        <v>312</v>
      </c>
      <c r="C19" s="325"/>
      <c r="D19" s="325"/>
      <c r="E19" s="325"/>
      <c r="F19" s="325"/>
      <c r="G19" s="325"/>
      <c r="H19" s="325"/>
    </row>
    <row r="20" spans="1:8" s="235" customFormat="1" ht="17.100000000000001" hidden="1" customHeight="1">
      <c r="A20" s="326" t="s">
        <v>325</v>
      </c>
      <c r="B20" s="321" t="s">
        <v>314</v>
      </c>
      <c r="C20" s="325"/>
      <c r="D20" s="325"/>
      <c r="E20" s="325"/>
      <c r="F20" s="325"/>
      <c r="G20" s="325"/>
      <c r="H20" s="325"/>
    </row>
    <row r="21" spans="1:8" s="235" customFormat="1" ht="17.100000000000001" hidden="1" customHeight="1">
      <c r="A21" s="330" t="s">
        <v>326</v>
      </c>
      <c r="B21" s="268" t="s">
        <v>307</v>
      </c>
      <c r="C21" s="325"/>
      <c r="D21" s="325"/>
      <c r="E21" s="325"/>
      <c r="F21" s="325"/>
      <c r="G21" s="325"/>
      <c r="H21" s="325"/>
    </row>
    <row r="22" spans="1:8" s="235" customFormat="1" ht="17.100000000000001" hidden="1" customHeight="1">
      <c r="A22" s="331" t="s">
        <v>327</v>
      </c>
      <c r="B22" s="269" t="s">
        <v>307</v>
      </c>
      <c r="C22" s="325"/>
      <c r="D22" s="325"/>
      <c r="E22" s="325"/>
      <c r="F22" s="325"/>
      <c r="G22" s="325"/>
      <c r="H22" s="325"/>
    </row>
    <row r="23" spans="1:8" s="235" customFormat="1" ht="17.100000000000001" hidden="1" customHeight="1">
      <c r="A23" s="330" t="s">
        <v>328</v>
      </c>
      <c r="B23" s="268" t="s">
        <v>329</v>
      </c>
      <c r="C23" s="325"/>
      <c r="D23" s="325"/>
      <c r="E23" s="325"/>
      <c r="F23" s="325"/>
      <c r="G23" s="325"/>
      <c r="H23" s="325"/>
    </row>
    <row r="24" spans="1:8" s="235" customFormat="1" ht="17.100000000000001" hidden="1" customHeight="1">
      <c r="A24" s="330" t="s">
        <v>330</v>
      </c>
      <c r="B24" s="268" t="s">
        <v>331</v>
      </c>
      <c r="C24" s="325"/>
      <c r="D24" s="325"/>
      <c r="E24" s="325"/>
      <c r="F24" s="325"/>
      <c r="G24" s="325"/>
      <c r="H24" s="325"/>
    </row>
    <row r="25" spans="1:8" s="235" customFormat="1" ht="17.100000000000001" customHeight="1">
      <c r="A25" s="278" t="s">
        <v>332</v>
      </c>
      <c r="B25" s="265" t="s">
        <v>333</v>
      </c>
      <c r="C25" s="276">
        <v>45134</v>
      </c>
      <c r="D25" s="276">
        <v>35435.5</v>
      </c>
      <c r="E25" s="276">
        <v>41270.300000000003</v>
      </c>
      <c r="F25" s="276">
        <v>48940.2</v>
      </c>
      <c r="G25" s="276">
        <v>52197</v>
      </c>
      <c r="H25" s="276">
        <v>71570</v>
      </c>
    </row>
    <row r="26" spans="1:8" s="235" customFormat="1" ht="17.100000000000001" customHeight="1">
      <c r="A26" s="333" t="s">
        <v>334</v>
      </c>
      <c r="B26" s="409" t="s">
        <v>436</v>
      </c>
      <c r="C26" s="276"/>
      <c r="D26" s="276"/>
      <c r="E26" s="276"/>
      <c r="F26" s="276"/>
      <c r="G26" s="276"/>
      <c r="H26" s="276"/>
    </row>
    <row r="27" spans="1:8" s="235" customFormat="1" ht="15.75" customHeight="1">
      <c r="A27" s="281" t="s">
        <v>452</v>
      </c>
      <c r="B27" s="265" t="s">
        <v>331</v>
      </c>
      <c r="C27" s="327">
        <v>6260</v>
      </c>
      <c r="D27" s="327">
        <v>8322.4</v>
      </c>
      <c r="E27" s="327">
        <f>5675.3+1820-969</f>
        <v>6526.3</v>
      </c>
      <c r="F27" s="276">
        <f>7351+1378.2</f>
        <v>8729.2000000000007</v>
      </c>
      <c r="G27" s="327">
        <f>12940+399</f>
        <v>13339</v>
      </c>
      <c r="H27" s="327">
        <f>18823+490</f>
        <v>19313</v>
      </c>
    </row>
    <row r="28" spans="1:8" s="235" customFormat="1" ht="15.75" hidden="1" customHeight="1">
      <c r="A28" s="281" t="s">
        <v>335</v>
      </c>
      <c r="B28" s="265" t="s">
        <v>331</v>
      </c>
      <c r="C28" s="276"/>
      <c r="D28" s="276"/>
      <c r="E28" s="276"/>
      <c r="F28" s="276"/>
      <c r="G28" s="276"/>
      <c r="H28" s="276"/>
    </row>
    <row r="29" spans="1:8" s="235" customFormat="1" ht="15.75" customHeight="1">
      <c r="A29" s="281" t="s">
        <v>336</v>
      </c>
      <c r="B29" s="265" t="s">
        <v>329</v>
      </c>
      <c r="C29" s="327">
        <v>2454</v>
      </c>
      <c r="D29" s="327">
        <v>1502.1</v>
      </c>
      <c r="E29" s="327">
        <v>1343</v>
      </c>
      <c r="F29" s="327">
        <v>3897.2</v>
      </c>
      <c r="G29" s="327">
        <v>1078.9000000000001</v>
      </c>
      <c r="H29" s="327">
        <v>746</v>
      </c>
    </row>
    <row r="30" spans="1:8" s="235" customFormat="1" ht="15.75" customHeight="1">
      <c r="A30" s="333" t="s">
        <v>435</v>
      </c>
      <c r="B30" s="409" t="s">
        <v>436</v>
      </c>
      <c r="C30" s="327"/>
      <c r="D30" s="327"/>
      <c r="E30" s="327"/>
      <c r="F30" s="327"/>
      <c r="G30" s="327"/>
      <c r="H30" s="327"/>
    </row>
    <row r="31" spans="1:8" s="235" customFormat="1" ht="15.75" customHeight="1">
      <c r="A31" s="281" t="s">
        <v>337</v>
      </c>
      <c r="B31" s="265" t="s">
        <v>438</v>
      </c>
      <c r="C31" s="327">
        <v>1419</v>
      </c>
      <c r="D31" s="327">
        <v>1309.5999999999999</v>
      </c>
      <c r="E31" s="327">
        <v>969</v>
      </c>
      <c r="F31" s="327">
        <v>629</v>
      </c>
      <c r="G31" s="327">
        <v>1168</v>
      </c>
      <c r="H31" s="327">
        <v>1276</v>
      </c>
    </row>
    <row r="32" spans="1:8" s="235" customFormat="1" ht="15.75" customHeight="1">
      <c r="A32" s="333" t="s">
        <v>437</v>
      </c>
      <c r="B32" s="409" t="s">
        <v>439</v>
      </c>
      <c r="C32" s="327"/>
      <c r="D32" s="327"/>
      <c r="E32" s="327"/>
      <c r="F32" s="327"/>
      <c r="G32" s="327"/>
      <c r="H32" s="327"/>
    </row>
    <row r="33" spans="1:8" s="198" customFormat="1" ht="12.75" hidden="1">
      <c r="A33" s="280" t="s">
        <v>338</v>
      </c>
      <c r="B33" s="270" t="s">
        <v>329</v>
      </c>
      <c r="C33" s="327"/>
      <c r="D33" s="327"/>
      <c r="E33" s="327"/>
      <c r="F33" s="327"/>
      <c r="G33" s="327"/>
      <c r="H33" s="327"/>
    </row>
    <row r="34" spans="1:8" s="235" customFormat="1" ht="16.5" customHeight="1">
      <c r="A34" s="281" t="s">
        <v>339</v>
      </c>
      <c r="B34" s="265" t="s">
        <v>340</v>
      </c>
      <c r="C34" s="327">
        <v>208</v>
      </c>
      <c r="D34" s="327">
        <v>323.8</v>
      </c>
      <c r="E34" s="327">
        <v>3613.9</v>
      </c>
      <c r="F34" s="327">
        <v>841.3</v>
      </c>
      <c r="G34" s="327">
        <v>1600</v>
      </c>
      <c r="H34" s="406">
        <v>0</v>
      </c>
    </row>
    <row r="35" spans="1:8" s="235" customFormat="1" ht="16.5" customHeight="1">
      <c r="A35" s="333" t="s">
        <v>440</v>
      </c>
      <c r="B35" s="409" t="s">
        <v>436</v>
      </c>
      <c r="C35" s="327"/>
      <c r="D35" s="327"/>
      <c r="E35" s="327"/>
      <c r="F35" s="327"/>
      <c r="G35" s="327"/>
      <c r="H35" s="327"/>
    </row>
    <row r="36" spans="1:8" s="198" customFormat="1" ht="12.75" hidden="1">
      <c r="A36" s="280" t="s">
        <v>341</v>
      </c>
      <c r="B36" s="270" t="s">
        <v>331</v>
      </c>
      <c r="C36" s="276"/>
      <c r="D36" s="276"/>
      <c r="E36" s="276"/>
      <c r="F36" s="276"/>
      <c r="G36" s="276"/>
      <c r="H36" s="276"/>
    </row>
    <row r="37" spans="1:8" s="198" customFormat="1" ht="12.75" hidden="1">
      <c r="A37" s="280" t="s">
        <v>342</v>
      </c>
      <c r="B37" s="270" t="s">
        <v>331</v>
      </c>
      <c r="C37" s="276"/>
      <c r="D37" s="276"/>
      <c r="E37" s="276"/>
      <c r="F37" s="276"/>
      <c r="G37" s="276"/>
      <c r="H37" s="276"/>
    </row>
    <row r="38" spans="1:8" s="198" customFormat="1" ht="12.75" hidden="1">
      <c r="A38" s="280" t="s">
        <v>343</v>
      </c>
      <c r="B38" s="270" t="s">
        <v>331</v>
      </c>
      <c r="C38" s="276"/>
      <c r="D38" s="276"/>
      <c r="E38" s="276"/>
      <c r="F38" s="276"/>
      <c r="G38" s="276"/>
      <c r="H38" s="276"/>
    </row>
    <row r="39" spans="1:8" s="198" customFormat="1" ht="12.75" hidden="1">
      <c r="A39" s="280" t="s">
        <v>344</v>
      </c>
      <c r="B39" s="270" t="s">
        <v>331</v>
      </c>
      <c r="C39" s="276"/>
      <c r="D39" s="276"/>
      <c r="E39" s="276"/>
      <c r="F39" s="276"/>
      <c r="G39" s="276"/>
      <c r="H39" s="276"/>
    </row>
    <row r="40" spans="1:8" s="235" customFormat="1" ht="16.5" customHeight="1">
      <c r="A40" s="281" t="s">
        <v>441</v>
      </c>
      <c r="B40" s="265" t="s">
        <v>345</v>
      </c>
      <c r="C40" s="276">
        <f>824+4622</f>
        <v>5446</v>
      </c>
      <c r="D40" s="276">
        <f>1038.4+7518.6</f>
        <v>8557</v>
      </c>
      <c r="E40" s="276">
        <f>6543.7+2874</f>
        <v>9417.7000000000007</v>
      </c>
      <c r="F40" s="276">
        <f>4471.3+8102.6</f>
        <v>12573.900000000001</v>
      </c>
      <c r="G40" s="276">
        <v>14559.7</v>
      </c>
      <c r="H40" s="276">
        <v>14816.1</v>
      </c>
    </row>
    <row r="41" spans="1:8" s="235" customFormat="1" ht="16.5" customHeight="1">
      <c r="A41" s="333" t="s">
        <v>442</v>
      </c>
      <c r="B41" s="409" t="s">
        <v>443</v>
      </c>
      <c r="C41" s="276"/>
      <c r="D41" s="276"/>
      <c r="E41" s="276"/>
      <c r="F41" s="276"/>
      <c r="G41" s="276"/>
      <c r="H41" s="276"/>
    </row>
    <row r="42" spans="1:8" s="235" customFormat="1" ht="16.5" customHeight="1">
      <c r="A42" s="281" t="s">
        <v>395</v>
      </c>
      <c r="B42" s="265" t="s">
        <v>346</v>
      </c>
      <c r="C42" s="276">
        <v>21155</v>
      </c>
      <c r="D42" s="276">
        <v>16974</v>
      </c>
      <c r="E42" s="276">
        <f>18975.6+3679</f>
        <v>22654.6</v>
      </c>
      <c r="F42" s="276">
        <f>26492+8770</f>
        <v>35262</v>
      </c>
      <c r="G42" s="276">
        <v>42149</v>
      </c>
      <c r="H42" s="276">
        <v>62760</v>
      </c>
    </row>
    <row r="43" spans="1:8" s="235" customFormat="1" ht="16.5" customHeight="1">
      <c r="A43" s="333" t="s">
        <v>444</v>
      </c>
      <c r="B43" s="409" t="s">
        <v>445</v>
      </c>
      <c r="C43" s="276"/>
      <c r="D43" s="276"/>
      <c r="E43" s="276"/>
      <c r="F43" s="276"/>
      <c r="G43" s="276"/>
      <c r="H43" s="276"/>
    </row>
    <row r="44" spans="1:8" s="235" customFormat="1" ht="16.5" customHeight="1">
      <c r="A44" s="281" t="s">
        <v>347</v>
      </c>
      <c r="B44" s="265" t="s">
        <v>346</v>
      </c>
      <c r="C44" s="276">
        <v>7532</v>
      </c>
      <c r="D44" s="276">
        <v>8084.3</v>
      </c>
      <c r="E44" s="276">
        <v>10764.2</v>
      </c>
      <c r="F44" s="276">
        <v>9554.2000000000007</v>
      </c>
      <c r="G44" s="276">
        <v>5405</v>
      </c>
      <c r="H44" s="276">
        <v>4510</v>
      </c>
    </row>
    <row r="45" spans="1:8" s="235" customFormat="1" ht="16.5" customHeight="1">
      <c r="A45" s="333" t="s">
        <v>446</v>
      </c>
      <c r="B45" s="409" t="s">
        <v>445</v>
      </c>
      <c r="C45" s="276"/>
      <c r="D45" s="276"/>
      <c r="E45" s="276"/>
      <c r="F45" s="276"/>
      <c r="G45" s="276"/>
      <c r="H45" s="276"/>
    </row>
    <row r="46" spans="1:8" s="235" customFormat="1" ht="16.5" customHeight="1">
      <c r="A46" s="281" t="s">
        <v>348</v>
      </c>
      <c r="B46" s="265" t="s">
        <v>329</v>
      </c>
      <c r="C46" s="276">
        <v>3916</v>
      </c>
      <c r="D46" s="276">
        <v>4274.8999999999996</v>
      </c>
      <c r="E46" s="276">
        <v>2780.4</v>
      </c>
      <c r="F46" s="276">
        <v>2577.1</v>
      </c>
      <c r="G46" s="276">
        <v>2017</v>
      </c>
      <c r="H46" s="276">
        <v>1902</v>
      </c>
    </row>
    <row r="47" spans="1:8" s="235" customFormat="1" ht="16.5" customHeight="1">
      <c r="A47" s="333" t="s">
        <v>447</v>
      </c>
      <c r="B47" s="409" t="s">
        <v>436</v>
      </c>
      <c r="C47" s="276"/>
      <c r="D47" s="276"/>
      <c r="E47" s="276"/>
      <c r="F47" s="276"/>
      <c r="G47" s="276"/>
      <c r="H47" s="276"/>
    </row>
    <row r="48" spans="1:8" s="235" customFormat="1" ht="16.5" customHeight="1">
      <c r="A48" s="281" t="s">
        <v>349</v>
      </c>
      <c r="B48" s="265" t="s">
        <v>329</v>
      </c>
      <c r="C48" s="276">
        <v>5699</v>
      </c>
      <c r="D48" s="276">
        <v>8431</v>
      </c>
      <c r="E48" s="276">
        <v>7726.3</v>
      </c>
      <c r="F48" s="276">
        <v>8600</v>
      </c>
      <c r="G48" s="276">
        <v>11361</v>
      </c>
      <c r="H48" s="276">
        <v>13272</v>
      </c>
    </row>
    <row r="49" spans="1:8" s="235" customFormat="1" ht="16.5" customHeight="1">
      <c r="A49" s="333" t="s">
        <v>448</v>
      </c>
      <c r="B49" s="409" t="s">
        <v>436</v>
      </c>
      <c r="C49" s="276"/>
      <c r="D49" s="276"/>
      <c r="E49" s="276"/>
      <c r="F49" s="276"/>
      <c r="G49" s="276"/>
      <c r="H49" s="276"/>
    </row>
    <row r="50" spans="1:8" s="235" customFormat="1" ht="16.5" customHeight="1">
      <c r="A50" s="281" t="s">
        <v>350</v>
      </c>
      <c r="B50" s="265" t="s">
        <v>329</v>
      </c>
      <c r="C50" s="276">
        <v>52425</v>
      </c>
      <c r="D50" s="276">
        <v>88092.2</v>
      </c>
      <c r="E50" s="276">
        <v>105122.9</v>
      </c>
      <c r="F50" s="276">
        <v>170580</v>
      </c>
      <c r="G50" s="276">
        <v>187878</v>
      </c>
      <c r="H50" s="276">
        <v>315882</v>
      </c>
    </row>
    <row r="51" spans="1:8" s="235" customFormat="1" ht="16.5" customHeight="1">
      <c r="A51" s="333" t="s">
        <v>449</v>
      </c>
      <c r="B51" s="409" t="s">
        <v>436</v>
      </c>
      <c r="C51" s="276"/>
      <c r="D51" s="276"/>
      <c r="E51" s="276"/>
      <c r="F51" s="276"/>
      <c r="G51" s="276"/>
      <c r="H51" s="276"/>
    </row>
    <row r="52" spans="1:8" s="235" customFormat="1" ht="16.5" customHeight="1">
      <c r="A52" s="281" t="s">
        <v>396</v>
      </c>
      <c r="B52" s="265" t="s">
        <v>397</v>
      </c>
      <c r="C52" s="276">
        <v>6178</v>
      </c>
      <c r="D52" s="276">
        <v>11925.6</v>
      </c>
      <c r="E52" s="276">
        <v>7848</v>
      </c>
      <c r="F52" s="276">
        <v>9125.2999999999993</v>
      </c>
      <c r="G52" s="276">
        <v>9019</v>
      </c>
      <c r="H52" s="276">
        <v>9732</v>
      </c>
    </row>
    <row r="53" spans="1:8" s="235" customFormat="1" ht="16.5" customHeight="1">
      <c r="A53" s="333" t="s">
        <v>450</v>
      </c>
      <c r="B53" s="409" t="s">
        <v>436</v>
      </c>
      <c r="C53" s="276"/>
      <c r="D53" s="276"/>
      <c r="E53" s="276"/>
      <c r="F53" s="276"/>
      <c r="G53" s="276"/>
      <c r="H53" s="276"/>
    </row>
    <row r="54" spans="1:8" s="235" customFormat="1" ht="7.5" customHeight="1">
      <c r="A54" s="271" t="s">
        <v>351</v>
      </c>
      <c r="B54" s="271"/>
      <c r="C54" s="272"/>
      <c r="D54" s="272"/>
      <c r="E54" s="272"/>
      <c r="F54" s="272"/>
      <c r="G54" s="272"/>
      <c r="H54" s="272"/>
    </row>
    <row r="55" spans="1:8" s="235" customFormat="1" ht="14.25" customHeight="1"/>
    <row r="56" spans="1:8" s="235" customFormat="1" ht="14.25" customHeight="1"/>
    <row r="57" spans="1:8" s="235" customFormat="1" ht="14.25" customHeight="1"/>
    <row r="58" spans="1:8" s="235" customFormat="1" ht="17.25" customHeight="1"/>
    <row r="59" spans="1:8" s="148" customFormat="1" ht="14.25" customHeight="1"/>
    <row r="60" spans="1:8" s="148" customFormat="1" ht="17.25" customHeight="1"/>
    <row r="61" spans="1:8" s="148" customFormat="1" ht="24" customHeight="1"/>
    <row r="62" spans="1:8" s="148" customFormat="1" ht="20.25" customHeight="1"/>
    <row r="63" spans="1:8" ht="15.75" customHeight="1">
      <c r="B63" s="206"/>
    </row>
    <row r="64" spans="1:8" ht="20.25">
      <c r="D64" s="273" t="s">
        <v>352</v>
      </c>
      <c r="E64" s="273"/>
      <c r="F64" s="273"/>
      <c r="G64" s="273"/>
      <c r="H64" s="273"/>
    </row>
  </sheetData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topLeftCell="A2" workbookViewId="0">
      <selection activeCell="J48" sqref="J48"/>
    </sheetView>
  </sheetViews>
  <sheetFormatPr defaultColWidth="10.28515625" defaultRowHeight="15"/>
  <cols>
    <col min="1" max="1" width="24.5703125" style="153" customWidth="1"/>
    <col min="2" max="2" width="11.42578125" style="153" customWidth="1"/>
    <col min="3" max="9" width="9.28515625" style="153" customWidth="1"/>
    <col min="10" max="11" width="13.28515625" style="153" customWidth="1"/>
    <col min="12" max="16384" width="10.28515625" style="153"/>
  </cols>
  <sheetData>
    <row r="1" spans="1:11" s="148" customFormat="1" ht="30" customHeight="1">
      <c r="A1" s="244" t="s">
        <v>410</v>
      </c>
      <c r="B1" s="244"/>
    </row>
    <row r="2" spans="1:11" s="148" customFormat="1" ht="18.95" customHeight="1">
      <c r="A2" s="274" t="s">
        <v>387</v>
      </c>
      <c r="B2" s="274"/>
    </row>
    <row r="3" spans="1:11" s="148" customFormat="1" ht="18.95" customHeight="1">
      <c r="A3" s="234"/>
      <c r="B3" s="234"/>
    </row>
    <row r="4" spans="1:11" s="148" customFormat="1" ht="18.95" customHeight="1">
      <c r="A4" s="234"/>
      <c r="B4" s="234"/>
    </row>
    <row r="5" spans="1:11" s="148" customFormat="1" ht="18.95" customHeight="1">
      <c r="A5" s="234"/>
      <c r="B5" s="234"/>
    </row>
    <row r="6" spans="1:11" s="148" customFormat="1" ht="18.95" customHeight="1">
      <c r="A6" s="234"/>
      <c r="B6" s="234"/>
    </row>
    <row r="7" spans="1:11" s="148" customFormat="1" ht="20.100000000000001" customHeight="1">
      <c r="A7" s="262"/>
      <c r="B7" s="262"/>
    </row>
    <row r="8" spans="1:11" s="148" customFormat="1" ht="20.100000000000001" customHeight="1">
      <c r="A8" s="298"/>
      <c r="B8" s="298"/>
      <c r="C8" s="288"/>
      <c r="D8" s="288"/>
      <c r="E8" s="288"/>
      <c r="F8" s="288"/>
      <c r="G8" s="288"/>
      <c r="H8" s="288"/>
    </row>
    <row r="9" spans="1:11" s="267" customFormat="1" ht="18" customHeight="1">
      <c r="A9" s="389"/>
      <c r="B9" s="302" t="s">
        <v>353</v>
      </c>
      <c r="C9" s="390">
        <v>2016</v>
      </c>
      <c r="D9" s="390">
        <v>2017</v>
      </c>
      <c r="E9" s="390">
        <v>2018</v>
      </c>
      <c r="F9" s="390">
        <v>2019</v>
      </c>
      <c r="G9" s="390">
        <v>2020</v>
      </c>
      <c r="H9" s="412">
        <v>2021</v>
      </c>
    </row>
    <row r="10" spans="1:11" s="235" customFormat="1" ht="20.100000000000001" customHeight="1">
      <c r="A10" s="263"/>
      <c r="B10" s="263"/>
    </row>
    <row r="11" spans="1:11" s="235" customFormat="1" ht="24.75" customHeight="1">
      <c r="A11" s="394" t="s">
        <v>430</v>
      </c>
      <c r="B11" s="275" t="s">
        <v>354</v>
      </c>
      <c r="C11" s="395">
        <v>24247</v>
      </c>
      <c r="D11" s="395">
        <f>6235+158</f>
        <v>6393</v>
      </c>
      <c r="E11" s="395">
        <v>258</v>
      </c>
      <c r="F11" s="395">
        <v>206</v>
      </c>
      <c r="G11" s="395">
        <v>900</v>
      </c>
      <c r="H11" s="395">
        <v>1486</v>
      </c>
    </row>
    <row r="12" spans="1:11" s="235" customFormat="1" ht="25.5" customHeight="1">
      <c r="A12" s="394" t="s">
        <v>431</v>
      </c>
      <c r="B12" s="275" t="s">
        <v>354</v>
      </c>
      <c r="C12" s="396" t="s">
        <v>355</v>
      </c>
      <c r="D12" s="396" t="s">
        <v>355</v>
      </c>
      <c r="E12" s="396" t="s">
        <v>355</v>
      </c>
      <c r="F12" s="396" t="s">
        <v>355</v>
      </c>
      <c r="G12" s="396" t="s">
        <v>355</v>
      </c>
      <c r="H12" s="396" t="s">
        <v>355</v>
      </c>
    </row>
    <row r="13" spans="1:11" s="267" customFormat="1" ht="27" customHeight="1">
      <c r="A13" s="397" t="s">
        <v>432</v>
      </c>
      <c r="B13" s="277" t="s">
        <v>356</v>
      </c>
      <c r="C13" s="395">
        <v>68680</v>
      </c>
      <c r="D13" s="395">
        <v>54141</v>
      </c>
      <c r="E13" s="395">
        <f>52163+86967</f>
        <v>139130</v>
      </c>
      <c r="F13" s="395">
        <f>55421.4+6252.8</f>
        <v>61674.200000000004</v>
      </c>
      <c r="G13" s="395">
        <v>58826.8</v>
      </c>
      <c r="H13" s="395">
        <v>109700</v>
      </c>
    </row>
    <row r="14" spans="1:11" s="235" customFormat="1" ht="33" customHeight="1">
      <c r="A14" s="394" t="s">
        <v>456</v>
      </c>
      <c r="B14" s="275" t="s">
        <v>357</v>
      </c>
      <c r="C14" s="395">
        <v>102260</v>
      </c>
      <c r="D14" s="395">
        <v>58332.5</v>
      </c>
      <c r="E14" s="395">
        <v>71569.600000000006</v>
      </c>
      <c r="F14" s="395">
        <v>81064.600000000006</v>
      </c>
      <c r="G14" s="395">
        <v>48843.5</v>
      </c>
      <c r="H14" s="395">
        <v>81120</v>
      </c>
      <c r="I14" s="410"/>
      <c r="J14" s="410"/>
      <c r="K14" s="410"/>
    </row>
    <row r="15" spans="1:11" s="235" customFormat="1" ht="18.75" hidden="1" customHeight="1">
      <c r="A15" s="398" t="s">
        <v>433</v>
      </c>
      <c r="B15" s="275" t="s">
        <v>358</v>
      </c>
      <c r="C15" s="396"/>
      <c r="D15" s="396"/>
      <c r="E15" s="396"/>
      <c r="F15" s="396"/>
      <c r="G15" s="396"/>
      <c r="H15" s="396"/>
    </row>
    <row r="16" spans="1:11" s="235" customFormat="1" ht="18" hidden="1" customHeight="1">
      <c r="A16" s="285" t="s">
        <v>359</v>
      </c>
      <c r="B16" s="279" t="s">
        <v>360</v>
      </c>
      <c r="C16" s="399"/>
      <c r="D16" s="399"/>
      <c r="E16" s="399"/>
      <c r="F16" s="399"/>
      <c r="G16" s="399"/>
      <c r="H16" s="399"/>
    </row>
    <row r="17" spans="1:8" s="235" customFormat="1" ht="12.75" hidden="1">
      <c r="A17" s="331" t="s">
        <v>361</v>
      </c>
      <c r="B17" s="279" t="s">
        <v>360</v>
      </c>
      <c r="C17" s="399"/>
      <c r="D17" s="399"/>
      <c r="E17" s="399"/>
      <c r="F17" s="399"/>
      <c r="G17" s="399"/>
      <c r="H17" s="399"/>
    </row>
    <row r="18" spans="1:8" s="235" customFormat="1" ht="12.75" hidden="1">
      <c r="A18" s="400" t="s">
        <v>362</v>
      </c>
      <c r="B18" s="279" t="s">
        <v>360</v>
      </c>
      <c r="C18" s="399"/>
      <c r="D18" s="399"/>
      <c r="E18" s="399"/>
      <c r="F18" s="399"/>
      <c r="G18" s="399"/>
      <c r="H18" s="399"/>
    </row>
    <row r="19" spans="1:8" s="235" customFormat="1" ht="12.75" hidden="1">
      <c r="A19" s="400" t="s">
        <v>363</v>
      </c>
      <c r="B19" s="279" t="s">
        <v>360</v>
      </c>
      <c r="C19" s="399"/>
      <c r="D19" s="399"/>
      <c r="E19" s="399"/>
      <c r="F19" s="399"/>
      <c r="G19" s="399"/>
      <c r="H19" s="399"/>
    </row>
    <row r="20" spans="1:8" s="235" customFormat="1" ht="12.75" hidden="1">
      <c r="A20" s="285" t="s">
        <v>364</v>
      </c>
      <c r="B20" s="279" t="s">
        <v>360</v>
      </c>
      <c r="C20" s="399"/>
      <c r="D20" s="399"/>
      <c r="E20" s="399"/>
      <c r="F20" s="399"/>
      <c r="G20" s="399"/>
      <c r="H20" s="399"/>
    </row>
    <row r="21" spans="1:8" s="235" customFormat="1" ht="12.75" hidden="1">
      <c r="A21" s="285" t="s">
        <v>365</v>
      </c>
      <c r="B21" s="279" t="s">
        <v>360</v>
      </c>
      <c r="C21" s="399"/>
      <c r="D21" s="399"/>
      <c r="E21" s="399"/>
      <c r="F21" s="399"/>
      <c r="G21" s="399"/>
      <c r="H21" s="399"/>
    </row>
    <row r="22" spans="1:8" s="235" customFormat="1" ht="25.5" customHeight="1">
      <c r="A22" s="283" t="s">
        <v>434</v>
      </c>
      <c r="B22" s="275" t="s">
        <v>360</v>
      </c>
      <c r="C22" s="395">
        <v>11709</v>
      </c>
      <c r="D22" s="395">
        <v>20319</v>
      </c>
      <c r="E22" s="395">
        <v>14552</v>
      </c>
      <c r="F22" s="395">
        <v>28091</v>
      </c>
      <c r="G22" s="417">
        <v>57043</v>
      </c>
      <c r="H22" s="395">
        <v>62012</v>
      </c>
    </row>
    <row r="23" spans="1:8" s="235" customFormat="1" ht="18" hidden="1" customHeight="1">
      <c r="A23" s="285" t="s">
        <v>366</v>
      </c>
      <c r="B23" s="279" t="s">
        <v>367</v>
      </c>
      <c r="C23" s="282"/>
      <c r="D23" s="282"/>
      <c r="E23" s="282"/>
      <c r="F23" s="282"/>
      <c r="G23" s="282"/>
      <c r="H23" s="282"/>
    </row>
    <row r="24" spans="1:8" s="235" customFormat="1" ht="30" customHeight="1">
      <c r="A24" s="283" t="s">
        <v>451</v>
      </c>
      <c r="B24" s="275" t="s">
        <v>357</v>
      </c>
      <c r="C24" s="395">
        <v>45993</v>
      </c>
      <c r="D24" s="395">
        <v>1757</v>
      </c>
      <c r="E24" s="395">
        <v>4839.3</v>
      </c>
      <c r="F24" s="395">
        <v>1454</v>
      </c>
      <c r="G24" s="395">
        <v>681</v>
      </c>
      <c r="H24" s="395">
        <v>1324</v>
      </c>
    </row>
    <row r="25" spans="1:8" s="235" customFormat="1" ht="23.25" hidden="1" customHeight="1">
      <c r="A25" s="283" t="s">
        <v>368</v>
      </c>
      <c r="B25" s="275" t="s">
        <v>360</v>
      </c>
      <c r="C25" s="396"/>
      <c r="D25" s="396"/>
      <c r="E25" s="396"/>
      <c r="F25" s="396"/>
      <c r="G25" s="396"/>
      <c r="H25" s="396"/>
    </row>
    <row r="26" spans="1:8" s="235" customFormat="1" ht="18" hidden="1" customHeight="1">
      <c r="A26" s="285" t="s">
        <v>369</v>
      </c>
      <c r="B26" s="279" t="s">
        <v>360</v>
      </c>
      <c r="C26" s="401"/>
      <c r="D26" s="401"/>
      <c r="E26" s="401"/>
      <c r="F26" s="401"/>
      <c r="G26" s="401"/>
      <c r="H26" s="401"/>
    </row>
    <row r="27" spans="1:8" s="235" customFormat="1" ht="18" hidden="1" customHeight="1">
      <c r="A27" s="285" t="s">
        <v>370</v>
      </c>
      <c r="B27" s="279" t="s">
        <v>360</v>
      </c>
      <c r="C27" s="286"/>
      <c r="D27" s="286"/>
      <c r="E27" s="286"/>
      <c r="F27" s="286"/>
      <c r="G27" s="286"/>
      <c r="H27" s="286"/>
    </row>
    <row r="28" spans="1:8" s="235" customFormat="1" ht="24" customHeight="1">
      <c r="A28" s="283" t="s">
        <v>371</v>
      </c>
      <c r="B28" s="275" t="s">
        <v>360</v>
      </c>
      <c r="C28" s="395">
        <v>20500</v>
      </c>
      <c r="D28" s="402">
        <v>0</v>
      </c>
      <c r="E28" s="402">
        <v>0</v>
      </c>
      <c r="F28" s="402">
        <v>0</v>
      </c>
      <c r="G28" s="402">
        <v>0</v>
      </c>
      <c r="H28" s="402">
        <v>0</v>
      </c>
    </row>
    <row r="29" spans="1:8" s="235" customFormat="1" ht="24" customHeight="1">
      <c r="A29" s="283" t="s">
        <v>372</v>
      </c>
      <c r="B29" s="275" t="s">
        <v>373</v>
      </c>
      <c r="C29" s="395">
        <v>277221</v>
      </c>
      <c r="D29" s="395">
        <v>373563</v>
      </c>
      <c r="E29" s="395">
        <f>28451.6+602742.9</f>
        <v>631194.5</v>
      </c>
      <c r="F29" s="395">
        <f>63906.3+1537056</f>
        <v>1600962.3</v>
      </c>
      <c r="G29" s="395">
        <v>1234726</v>
      </c>
      <c r="H29" s="395">
        <v>917503</v>
      </c>
    </row>
    <row r="30" spans="1:8" s="235" customFormat="1" ht="15" customHeight="1">
      <c r="A30" s="326" t="s">
        <v>453</v>
      </c>
      <c r="B30" s="275"/>
      <c r="C30" s="395"/>
      <c r="D30" s="395"/>
      <c r="E30" s="395"/>
      <c r="F30" s="395"/>
      <c r="G30" s="395"/>
      <c r="H30" s="395"/>
    </row>
    <row r="31" spans="1:8" s="235" customFormat="1" ht="21.75" customHeight="1">
      <c r="A31" s="403" t="s">
        <v>406</v>
      </c>
      <c r="B31" s="275" t="s">
        <v>373</v>
      </c>
      <c r="C31" s="395">
        <v>10171</v>
      </c>
      <c r="D31" s="395">
        <v>13051</v>
      </c>
      <c r="E31" s="395">
        <f>698769+17317.2</f>
        <v>716086.2</v>
      </c>
      <c r="F31" s="395">
        <f>21564+906185</f>
        <v>927749</v>
      </c>
      <c r="G31" s="395">
        <f>19024+982644</f>
        <v>1001668</v>
      </c>
      <c r="H31" s="395">
        <f>35158+1078391</f>
        <v>1113549</v>
      </c>
    </row>
    <row r="32" spans="1:8" s="235" customFormat="1" ht="21.75" customHeight="1">
      <c r="A32" s="283" t="s">
        <v>374</v>
      </c>
      <c r="B32" s="275" t="s">
        <v>373</v>
      </c>
      <c r="C32" s="395">
        <v>60972</v>
      </c>
      <c r="D32" s="395">
        <v>35252</v>
      </c>
      <c r="E32" s="395">
        <v>44441.3</v>
      </c>
      <c r="F32" s="395">
        <v>58254</v>
      </c>
      <c r="G32" s="395">
        <v>221202</v>
      </c>
      <c r="H32" s="396">
        <v>500343</v>
      </c>
    </row>
    <row r="33" spans="1:8" s="235" customFormat="1" ht="15" customHeight="1">
      <c r="A33" s="326" t="s">
        <v>454</v>
      </c>
      <c r="B33" s="275"/>
      <c r="C33" s="395"/>
      <c r="D33" s="395"/>
      <c r="E33" s="395"/>
      <c r="F33" s="395"/>
      <c r="G33" s="395"/>
      <c r="H33" s="395"/>
    </row>
    <row r="34" spans="1:8" s="235" customFormat="1" ht="21.75" customHeight="1">
      <c r="A34" s="283" t="s">
        <v>368</v>
      </c>
      <c r="B34" s="275" t="s">
        <v>373</v>
      </c>
      <c r="C34" s="395">
        <v>101490</v>
      </c>
      <c r="D34" s="395">
        <v>97258</v>
      </c>
      <c r="E34" s="395">
        <v>182676.5</v>
      </c>
      <c r="F34" s="395">
        <v>182930.2</v>
      </c>
      <c r="G34" s="395">
        <v>93563</v>
      </c>
      <c r="H34" s="417">
        <v>24080</v>
      </c>
    </row>
    <row r="35" spans="1:8" s="235" customFormat="1" ht="15" customHeight="1">
      <c r="A35" s="326" t="s">
        <v>455</v>
      </c>
      <c r="B35" s="275"/>
      <c r="C35" s="395"/>
      <c r="D35" s="395"/>
      <c r="E35" s="395"/>
      <c r="F35" s="395"/>
      <c r="G35" s="395"/>
      <c r="H35" s="395"/>
    </row>
    <row r="36" spans="1:8" s="148" customFormat="1" ht="16.5">
      <c r="A36" s="287"/>
      <c r="B36" s="287"/>
      <c r="C36" s="288"/>
      <c r="D36" s="288"/>
      <c r="E36" s="288"/>
      <c r="F36" s="288"/>
      <c r="G36" s="288"/>
      <c r="H36" s="288"/>
    </row>
    <row r="37" spans="1:8" s="148" customFormat="1" ht="20.100000000000001" customHeight="1"/>
    <row r="38" spans="1:8" s="148" customFormat="1" ht="20.100000000000001" customHeight="1"/>
    <row r="39" spans="1:8" s="148" customFormat="1" ht="20.100000000000001" customHeight="1"/>
    <row r="40" spans="1:8" s="148" customFormat="1" ht="20.100000000000001" customHeight="1"/>
    <row r="41" spans="1:8" s="148" customFormat="1" ht="20.100000000000001" customHeight="1"/>
    <row r="42" spans="1:8" s="148" customFormat="1" ht="20.100000000000001" customHeight="1"/>
    <row r="43" spans="1:8" s="148" customFormat="1" ht="20.100000000000001" customHeight="1"/>
    <row r="44" spans="1:8" s="148" customFormat="1" ht="20.100000000000001" customHeight="1"/>
    <row r="45" spans="1:8" s="148" customFormat="1" ht="20.100000000000001" customHeight="1"/>
    <row r="46" spans="1:8" s="148" customFormat="1" ht="20.100000000000001" customHeight="1"/>
    <row r="47" spans="1:8" s="148" customFormat="1" ht="20.100000000000001" hidden="1" customHeight="1">
      <c r="A47" s="289" t="s">
        <v>375</v>
      </c>
    </row>
    <row r="48" spans="1:8" s="148" customFormat="1" ht="16.5"/>
  </sheetData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6" sqref="A6:XFD6"/>
    </sheetView>
  </sheetViews>
  <sheetFormatPr defaultRowHeight="12.75"/>
  <cols>
    <col min="1" max="1" width="6.5703125" customWidth="1"/>
    <col min="2" max="2" width="78.7109375" customWidth="1"/>
    <col min="3" max="3" width="7" customWidth="1"/>
  </cols>
  <sheetData>
    <row r="1" spans="1:3" ht="15">
      <c r="A1" s="53"/>
      <c r="B1" s="53"/>
      <c r="C1" s="53"/>
    </row>
    <row r="2" spans="1:3" ht="20.25">
      <c r="A2" s="421" t="s">
        <v>79</v>
      </c>
      <c r="B2" s="421"/>
      <c r="C2" s="421"/>
    </row>
    <row r="3" spans="1:3">
      <c r="A3" s="54"/>
      <c r="B3" s="54"/>
      <c r="C3" s="54"/>
    </row>
    <row r="4" spans="1:3">
      <c r="A4" s="54"/>
      <c r="B4" s="54"/>
      <c r="C4" s="54"/>
    </row>
    <row r="5" spans="1:3">
      <c r="A5" s="54"/>
      <c r="B5" s="54"/>
      <c r="C5" s="54"/>
    </row>
    <row r="6" spans="1:3">
      <c r="A6" s="54"/>
      <c r="B6" s="54"/>
      <c r="C6" s="54"/>
    </row>
    <row r="7" spans="1:3">
      <c r="A7" s="54"/>
      <c r="B7" s="54"/>
      <c r="C7" s="54"/>
    </row>
    <row r="8" spans="1:3">
      <c r="A8" s="54"/>
      <c r="B8" s="54"/>
      <c r="C8" s="54"/>
    </row>
    <row r="9" spans="1:3">
      <c r="A9" s="54"/>
      <c r="B9" s="54"/>
      <c r="C9" s="54"/>
    </row>
    <row r="10" spans="1:3">
      <c r="A10" s="54"/>
      <c r="B10" s="54"/>
      <c r="C10" s="54"/>
    </row>
    <row r="11" spans="1:3">
      <c r="A11" s="54"/>
      <c r="B11" s="54"/>
      <c r="C11" s="54"/>
    </row>
    <row r="12" spans="1:3">
      <c r="A12" s="54"/>
      <c r="B12" s="54"/>
      <c r="C12" s="54"/>
    </row>
    <row r="13" spans="1:3">
      <c r="A13" s="54"/>
      <c r="B13" s="54"/>
      <c r="C13" s="54"/>
    </row>
    <row r="14" spans="1:3">
      <c r="A14" s="54"/>
      <c r="B14" s="54"/>
      <c r="C14" s="54"/>
    </row>
    <row r="15" spans="1:3">
      <c r="A15" s="54"/>
      <c r="B15" s="54"/>
      <c r="C15" s="54"/>
    </row>
    <row r="16" spans="1:3">
      <c r="A16" s="54"/>
      <c r="B16" s="54"/>
      <c r="C16" s="54"/>
    </row>
    <row r="17" spans="1:3">
      <c r="A17" s="54"/>
      <c r="B17" s="54"/>
      <c r="C17" s="54"/>
    </row>
    <row r="18" spans="1:3">
      <c r="A18" s="54"/>
      <c r="B18" s="54"/>
      <c r="C18" s="54"/>
    </row>
    <row r="19" spans="1:3">
      <c r="A19" s="54"/>
      <c r="B19" s="54"/>
      <c r="C19" s="54"/>
    </row>
    <row r="20" spans="1:3">
      <c r="A20" s="54"/>
      <c r="B20" s="54"/>
      <c r="C20" s="54"/>
    </row>
    <row r="21" spans="1:3">
      <c r="A21" s="54"/>
      <c r="B21" s="54"/>
      <c r="C21" s="54"/>
    </row>
    <row r="22" spans="1:3">
      <c r="A22" s="54"/>
      <c r="B22" s="54"/>
      <c r="C22" s="54"/>
    </row>
    <row r="23" spans="1:3">
      <c r="A23" s="54"/>
      <c r="B23" s="54"/>
      <c r="C23" s="54"/>
    </row>
    <row r="24" spans="1:3">
      <c r="A24" s="54"/>
      <c r="B24" s="54"/>
      <c r="C24" s="54"/>
    </row>
    <row r="25" spans="1:3">
      <c r="A25" s="54"/>
      <c r="B25" s="54"/>
      <c r="C25" s="54"/>
    </row>
    <row r="26" spans="1:3">
      <c r="A26" s="54"/>
      <c r="B26" s="54"/>
      <c r="C26" s="54"/>
    </row>
    <row r="27" spans="1:3">
      <c r="A27" s="54"/>
      <c r="B27" s="54"/>
      <c r="C27" s="54"/>
    </row>
    <row r="28" spans="1:3">
      <c r="A28" s="54"/>
      <c r="B28" s="54"/>
      <c r="C28" s="54"/>
    </row>
    <row r="29" spans="1:3">
      <c r="A29" s="54"/>
      <c r="B29" s="54"/>
      <c r="C29" s="54"/>
    </row>
    <row r="30" spans="1:3">
      <c r="A30" s="54"/>
      <c r="B30" s="54"/>
      <c r="C30" s="54"/>
    </row>
    <row r="31" spans="1:3">
      <c r="A31" s="54"/>
      <c r="B31" s="54"/>
      <c r="C31" s="54"/>
    </row>
    <row r="32" spans="1:3">
      <c r="A32" s="54"/>
      <c r="B32" s="54"/>
      <c r="C32" s="54"/>
    </row>
    <row r="33" spans="1:3">
      <c r="A33" s="54"/>
      <c r="B33" s="54"/>
      <c r="C33" s="54"/>
    </row>
    <row r="34" spans="1:3">
      <c r="A34" s="54"/>
      <c r="B34" s="54"/>
      <c r="C34" s="54"/>
    </row>
    <row r="35" spans="1:3">
      <c r="A35" s="54"/>
      <c r="B35" s="54"/>
      <c r="C35" s="54"/>
    </row>
    <row r="36" spans="1:3">
      <c r="A36" s="54"/>
      <c r="B36" s="54"/>
      <c r="C36" s="54"/>
    </row>
  </sheetData>
  <mergeCells count="1">
    <mergeCell ref="A2:C2"/>
  </mergeCells>
  <pageMargins left="0.39370078740157483" right="0.39370078740157483" top="0.39370078740157483" bottom="0.39370078740157483" header="0.19685039370078741" footer="0.19685039370078741"/>
  <pageSetup firstPageNumber="182" orientation="portrait" useFirstPageNumber="1" r:id="rId1"/>
  <headerFooter alignWithMargins="0">
    <oddFooter>&amp;L&amp;12Thương mại và Du lịch - Trade and Tourism&amp;R&amp;P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4"/>
  <sheetViews>
    <sheetView topLeftCell="A52" workbookViewId="0">
      <selection activeCell="B28" sqref="B1:B1048576"/>
    </sheetView>
  </sheetViews>
  <sheetFormatPr defaultColWidth="8.85546875" defaultRowHeight="15"/>
  <cols>
    <col min="1" max="1" width="6" style="1" customWidth="1"/>
    <col min="2" max="2" width="66.85546875" style="1" customWidth="1"/>
    <col min="3" max="3" width="9.28515625" style="1" customWidth="1"/>
    <col min="4" max="16384" width="8.85546875" style="1"/>
  </cols>
  <sheetData>
    <row r="1" spans="1:3" ht="20.100000000000001" customHeight="1">
      <c r="A1" s="422" t="s">
        <v>17</v>
      </c>
      <c r="B1" s="422"/>
      <c r="C1" s="3"/>
    </row>
    <row r="2" spans="1:3" ht="20.100000000000001" customHeight="1">
      <c r="A2" s="423" t="s">
        <v>18</v>
      </c>
      <c r="B2" s="423"/>
      <c r="C2" s="3"/>
    </row>
    <row r="3" spans="1:3" ht="20.100000000000001" customHeight="1" thickBot="1">
      <c r="A3" s="2"/>
      <c r="B3" s="3"/>
      <c r="C3" s="3"/>
    </row>
    <row r="4" spans="1:3" ht="20.100000000000001" customHeight="1">
      <c r="A4" s="303" t="s">
        <v>15</v>
      </c>
      <c r="B4" s="304"/>
      <c r="C4" s="305" t="s">
        <v>16</v>
      </c>
    </row>
    <row r="5" spans="1:3" ht="20.100000000000001" customHeight="1">
      <c r="A5" s="114" t="s">
        <v>87</v>
      </c>
      <c r="B5" s="115"/>
      <c r="C5" s="116" t="s">
        <v>88</v>
      </c>
    </row>
    <row r="6" spans="1:3" ht="12" customHeight="1">
      <c r="A6" s="111"/>
      <c r="B6" s="112"/>
      <c r="C6" s="113"/>
    </row>
    <row r="7" spans="1:3" ht="20.100000000000001" customHeight="1">
      <c r="A7" s="114"/>
      <c r="B7" s="115"/>
      <c r="C7" s="116"/>
    </row>
    <row r="8" spans="1:3" ht="21" customHeight="1">
      <c r="A8" s="14">
        <v>243</v>
      </c>
      <c r="B8" s="312" t="s">
        <v>457</v>
      </c>
      <c r="C8" s="14">
        <v>379</v>
      </c>
    </row>
    <row r="9" spans="1:3" ht="21" customHeight="1">
      <c r="A9" s="14"/>
      <c r="B9" s="312" t="s">
        <v>398</v>
      </c>
      <c r="C9" s="14"/>
    </row>
    <row r="10" spans="1:3" s="315" customFormat="1" ht="21" customHeight="1">
      <c r="A10" s="313"/>
      <c r="B10" s="314" t="s">
        <v>399</v>
      </c>
      <c r="C10" s="313"/>
    </row>
    <row r="11" spans="1:3" s="315" customFormat="1" ht="21" customHeight="1">
      <c r="A11" s="313"/>
      <c r="B11" s="314" t="s">
        <v>400</v>
      </c>
      <c r="C11" s="313"/>
    </row>
    <row r="12" spans="1:3" ht="21" customHeight="1">
      <c r="A12" s="14">
        <v>244</v>
      </c>
      <c r="B12" s="312" t="s">
        <v>401</v>
      </c>
      <c r="C12" s="14">
        <v>380</v>
      </c>
    </row>
    <row r="13" spans="1:3" ht="21" customHeight="1">
      <c r="A13" s="14"/>
      <c r="B13" s="312" t="s">
        <v>402</v>
      </c>
      <c r="C13" s="14"/>
    </row>
    <row r="14" spans="1:3" s="315" customFormat="1" ht="21" customHeight="1">
      <c r="A14" s="313"/>
      <c r="B14" s="314" t="s">
        <v>403</v>
      </c>
      <c r="C14" s="313"/>
    </row>
    <row r="15" spans="1:3" s="315" customFormat="1" ht="21" customHeight="1">
      <c r="A15" s="313"/>
      <c r="B15" s="314" t="s">
        <v>404</v>
      </c>
      <c r="C15" s="313"/>
    </row>
    <row r="16" spans="1:3" ht="21" customHeight="1">
      <c r="A16" s="14">
        <v>245</v>
      </c>
      <c r="B16" s="312" t="s">
        <v>457</v>
      </c>
      <c r="C16" s="14">
        <v>381</v>
      </c>
    </row>
    <row r="17" spans="1:3" ht="21" customHeight="1">
      <c r="A17" s="14"/>
      <c r="B17" s="312" t="s">
        <v>405</v>
      </c>
      <c r="C17" s="14"/>
    </row>
    <row r="18" spans="1:3" ht="17.25" customHeight="1">
      <c r="A18" s="316"/>
      <c r="B18" s="231" t="s">
        <v>246</v>
      </c>
      <c r="C18" s="317"/>
    </row>
    <row r="19" spans="1:3" ht="21" customHeight="1">
      <c r="A19" s="14">
        <v>246</v>
      </c>
      <c r="B19" s="312" t="s">
        <v>458</v>
      </c>
      <c r="C19" s="14">
        <v>382</v>
      </c>
    </row>
    <row r="20" spans="1:3" ht="21" customHeight="1">
      <c r="A20" s="14"/>
      <c r="B20" s="312" t="s">
        <v>130</v>
      </c>
      <c r="C20" s="14"/>
    </row>
    <row r="21" spans="1:3" ht="21" customHeight="1">
      <c r="A21" s="14"/>
      <c r="B21" s="123" t="s">
        <v>131</v>
      </c>
      <c r="C21" s="14"/>
    </row>
    <row r="22" spans="1:3" ht="21" customHeight="1">
      <c r="A22" s="14"/>
      <c r="B22" s="123" t="s">
        <v>132</v>
      </c>
      <c r="C22" s="14"/>
    </row>
    <row r="23" spans="1:3" ht="21" customHeight="1">
      <c r="A23" s="14">
        <v>247</v>
      </c>
      <c r="B23" s="318" t="s">
        <v>84</v>
      </c>
      <c r="C23" s="14">
        <v>384</v>
      </c>
    </row>
    <row r="24" spans="1:3" ht="21" customHeight="1">
      <c r="A24" s="14"/>
      <c r="B24" s="318" t="s">
        <v>463</v>
      </c>
      <c r="C24" s="14"/>
    </row>
    <row r="25" spans="1:3" ht="21" customHeight="1">
      <c r="A25" s="14"/>
      <c r="B25" s="51" t="s">
        <v>77</v>
      </c>
      <c r="C25" s="14"/>
    </row>
    <row r="26" spans="1:3" ht="21" customHeight="1">
      <c r="A26" s="14"/>
      <c r="B26" s="51" t="s">
        <v>83</v>
      </c>
      <c r="C26" s="14"/>
    </row>
    <row r="27" spans="1:3" ht="21" customHeight="1">
      <c r="A27" s="14">
        <v>248</v>
      </c>
      <c r="B27" s="318" t="s">
        <v>72</v>
      </c>
      <c r="C27" s="14">
        <v>385</v>
      </c>
    </row>
    <row r="28" spans="1:3" ht="21" customHeight="1">
      <c r="A28" s="14"/>
      <c r="B28" s="117" t="s">
        <v>73</v>
      </c>
      <c r="C28" s="14"/>
    </row>
    <row r="29" spans="1:3" ht="21" customHeight="1">
      <c r="A29" s="14">
        <v>249</v>
      </c>
      <c r="B29" s="319" t="s">
        <v>459</v>
      </c>
      <c r="C29" s="14">
        <v>386</v>
      </c>
    </row>
    <row r="30" spans="1:3" ht="21" customHeight="1">
      <c r="A30" s="14"/>
      <c r="B30" s="319" t="s">
        <v>133</v>
      </c>
      <c r="C30" s="14"/>
    </row>
    <row r="31" spans="1:3" ht="21" customHeight="1">
      <c r="A31" s="14"/>
      <c r="B31" s="124" t="s">
        <v>134</v>
      </c>
      <c r="C31" s="14"/>
    </row>
    <row r="32" spans="1:3" ht="21" customHeight="1">
      <c r="A32" s="14"/>
      <c r="B32" s="124" t="s">
        <v>135</v>
      </c>
      <c r="C32" s="14"/>
    </row>
    <row r="33" spans="1:3" ht="21" customHeight="1">
      <c r="A33" s="14">
        <v>250</v>
      </c>
      <c r="B33" s="320" t="s">
        <v>247</v>
      </c>
      <c r="C33" s="14">
        <v>387</v>
      </c>
    </row>
    <row r="34" spans="1:3" ht="21" customHeight="1">
      <c r="A34" s="14"/>
      <c r="B34" s="124" t="s">
        <v>248</v>
      </c>
      <c r="C34" s="14"/>
    </row>
    <row r="35" spans="1:3" ht="21" customHeight="1">
      <c r="A35" s="14">
        <v>251</v>
      </c>
      <c r="B35" s="320" t="s">
        <v>249</v>
      </c>
      <c r="C35" s="14">
        <v>388</v>
      </c>
    </row>
    <row r="36" spans="1:3" ht="21" customHeight="1">
      <c r="A36" s="14"/>
      <c r="B36" s="124" t="s">
        <v>245</v>
      </c>
      <c r="C36" s="14"/>
    </row>
    <row r="37" spans="1:3" ht="21" customHeight="1">
      <c r="A37" s="14">
        <v>252</v>
      </c>
      <c r="B37" s="320" t="s">
        <v>468</v>
      </c>
      <c r="C37" s="14">
        <v>389</v>
      </c>
    </row>
    <row r="38" spans="1:3" ht="30" customHeight="1">
      <c r="A38" s="14"/>
      <c r="B38" s="124" t="s">
        <v>469</v>
      </c>
      <c r="C38" s="14"/>
    </row>
    <row r="39" spans="1:3" ht="21" customHeight="1">
      <c r="A39" s="14">
        <v>253</v>
      </c>
      <c r="B39" s="318" t="s">
        <v>460</v>
      </c>
      <c r="C39" s="14">
        <v>390</v>
      </c>
    </row>
    <row r="40" spans="1:3" ht="21" customHeight="1">
      <c r="A40" s="14"/>
      <c r="B40" s="4" t="s">
        <v>19</v>
      </c>
      <c r="C40" s="14"/>
    </row>
    <row r="41" spans="1:3" ht="21" customHeight="1">
      <c r="A41" s="14">
        <v>254</v>
      </c>
      <c r="B41" s="318" t="s">
        <v>21</v>
      </c>
      <c r="C41" s="14">
        <v>391</v>
      </c>
    </row>
    <row r="42" spans="1:3" ht="21" customHeight="1">
      <c r="A42" s="14"/>
      <c r="B42" s="4" t="s">
        <v>20</v>
      </c>
      <c r="C42" s="14"/>
    </row>
    <row r="43" spans="1:3" ht="20.100000000000001" customHeight="1">
      <c r="A43" s="14">
        <v>255</v>
      </c>
      <c r="B43" s="318" t="s">
        <v>250</v>
      </c>
      <c r="C43" s="14">
        <v>392</v>
      </c>
    </row>
    <row r="44" spans="1:3" ht="20.100000000000001" customHeight="1">
      <c r="A44" s="14"/>
      <c r="B44" s="4" t="s">
        <v>252</v>
      </c>
      <c r="C44" s="14"/>
    </row>
    <row r="45" spans="1:3" ht="20.100000000000001" customHeight="1">
      <c r="A45" s="14">
        <v>256</v>
      </c>
      <c r="B45" s="318" t="s">
        <v>376</v>
      </c>
      <c r="C45" s="14">
        <v>393</v>
      </c>
    </row>
    <row r="46" spans="1:3" ht="20.100000000000001" customHeight="1">
      <c r="A46" s="14"/>
      <c r="B46" s="4" t="s">
        <v>377</v>
      </c>
      <c r="C46" s="14"/>
    </row>
    <row r="47" spans="1:3" ht="20.100000000000001" customHeight="1">
      <c r="A47" s="14">
        <v>257</v>
      </c>
      <c r="B47" s="318" t="s">
        <v>378</v>
      </c>
      <c r="C47" s="14">
        <v>394</v>
      </c>
    </row>
    <row r="48" spans="1:3" ht="20.100000000000001" customHeight="1">
      <c r="A48" s="14"/>
      <c r="B48" s="4" t="s">
        <v>379</v>
      </c>
      <c r="C48" s="14"/>
    </row>
    <row r="49" spans="1:3" ht="20.100000000000001" customHeight="1">
      <c r="A49" s="14">
        <v>258</v>
      </c>
      <c r="B49" s="318" t="s">
        <v>380</v>
      </c>
      <c r="C49" s="14">
        <v>395</v>
      </c>
    </row>
    <row r="50" spans="1:3" ht="20.100000000000001" customHeight="1">
      <c r="A50" s="14"/>
      <c r="B50" s="4" t="s">
        <v>381</v>
      </c>
      <c r="C50" s="14"/>
    </row>
    <row r="51" spans="1:3" ht="20.100000000000001" customHeight="1">
      <c r="A51" s="14">
        <v>259</v>
      </c>
      <c r="B51" s="318" t="s">
        <v>382</v>
      </c>
      <c r="C51" s="14">
        <v>396</v>
      </c>
    </row>
    <row r="52" spans="1:3" ht="20.100000000000001" customHeight="1">
      <c r="A52" s="14"/>
      <c r="B52" s="4" t="s">
        <v>383</v>
      </c>
      <c r="C52" s="14"/>
    </row>
    <row r="53" spans="1:3" ht="20.100000000000001" customHeight="1">
      <c r="A53" s="118"/>
      <c r="B53" s="118"/>
      <c r="C53" s="118"/>
    </row>
    <row r="54" spans="1:3" ht="20.100000000000001" customHeight="1"/>
    <row r="55" spans="1:3" ht="20.100000000000001" customHeight="1"/>
    <row r="56" spans="1:3" ht="20.100000000000001" customHeight="1"/>
    <row r="57" spans="1:3" ht="20.100000000000001" customHeight="1"/>
    <row r="58" spans="1:3" ht="20.100000000000001" customHeight="1"/>
    <row r="59" spans="1:3" ht="20.100000000000001" customHeight="1"/>
    <row r="60" spans="1:3" ht="20.100000000000001" customHeight="1"/>
    <row r="61" spans="1:3" ht="20.100000000000001" customHeight="1"/>
    <row r="62" spans="1:3" ht="20.100000000000001" customHeight="1"/>
    <row r="63" spans="1:3" ht="20.100000000000001" customHeight="1"/>
    <row r="64" spans="1:3" ht="20.100000000000001" customHeight="1"/>
  </sheetData>
  <mergeCells count="2">
    <mergeCell ref="A1:B1"/>
    <mergeCell ref="A2:B2"/>
  </mergeCells>
  <phoneticPr fontId="29" type="noConversion"/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>
    <oddFooter xml:space="preserve">&amp;L       &amp;12  Thương mại và Du lịch - Trade and Tourism&amp;R&amp;12&amp;P+382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6"/>
  <sheetViews>
    <sheetView topLeftCell="A13" zoomScaleNormal="100" workbookViewId="0">
      <selection activeCell="B21" sqref="B21:G21"/>
    </sheetView>
  </sheetViews>
  <sheetFormatPr defaultColWidth="9.140625" defaultRowHeight="15.95" customHeight="1"/>
  <cols>
    <col min="1" max="1" width="35" style="5" customWidth="1"/>
    <col min="2" max="2" width="9.7109375" style="5" customWidth="1"/>
    <col min="3" max="5" width="9.85546875" style="5" customWidth="1"/>
    <col min="6" max="7" width="9.7109375" style="5" customWidth="1"/>
    <col min="8" max="16384" width="9.140625" style="5"/>
  </cols>
  <sheetData>
    <row r="1" spans="1:8" ht="40.5" customHeight="1">
      <c r="A1" s="424" t="s">
        <v>462</v>
      </c>
      <c r="B1" s="424"/>
      <c r="C1" s="424"/>
      <c r="D1" s="424"/>
      <c r="E1" s="424"/>
      <c r="F1" s="424"/>
      <c r="G1" s="424"/>
    </row>
    <row r="2" spans="1:8" ht="38.25" customHeight="1">
      <c r="A2" s="425" t="s">
        <v>238</v>
      </c>
      <c r="B2" s="425"/>
      <c r="C2" s="425"/>
      <c r="D2" s="425"/>
      <c r="E2" s="425"/>
      <c r="F2" s="425"/>
      <c r="G2" s="425"/>
    </row>
    <row r="3" spans="1:8" ht="20.100000000000001" customHeight="1">
      <c r="A3" s="376"/>
    </row>
    <row r="4" spans="1:8" ht="18" customHeight="1">
      <c r="A4" s="377"/>
      <c r="B4" s="6"/>
      <c r="C4" s="6"/>
      <c r="D4" s="6"/>
      <c r="E4" s="6"/>
      <c r="F4" s="6"/>
      <c r="G4" s="6"/>
    </row>
    <row r="5" spans="1:8" ht="18.75" customHeight="1">
      <c r="A5" s="63"/>
      <c r="B5" s="60">
        <v>2016</v>
      </c>
      <c r="C5" s="60">
        <v>2017</v>
      </c>
      <c r="D5" s="60">
        <v>2018</v>
      </c>
      <c r="E5" s="60">
        <v>2019</v>
      </c>
      <c r="F5" s="60">
        <v>2020</v>
      </c>
      <c r="G5" s="60">
        <v>2021</v>
      </c>
    </row>
    <row r="6" spans="1:8" ht="16.5" customHeight="1">
      <c r="A6" s="63"/>
      <c r="B6" s="426" t="s">
        <v>471</v>
      </c>
      <c r="C6" s="426"/>
      <c r="D6" s="426"/>
      <c r="E6" s="426"/>
      <c r="F6" s="426"/>
      <c r="G6" s="426"/>
    </row>
    <row r="7" spans="1:8" ht="18" customHeight="1">
      <c r="A7" s="130" t="s">
        <v>109</v>
      </c>
      <c r="B7" s="378">
        <f t="shared" ref="B7:G7" si="0">SUM(B9+B10+B14)</f>
        <v>27901033</v>
      </c>
      <c r="C7" s="378">
        <f t="shared" si="0"/>
        <v>31101343</v>
      </c>
      <c r="D7" s="378">
        <f t="shared" si="0"/>
        <v>34789133</v>
      </c>
      <c r="E7" s="378">
        <f t="shared" si="0"/>
        <v>40160685</v>
      </c>
      <c r="F7" s="378">
        <f t="shared" si="0"/>
        <v>38291274</v>
      </c>
      <c r="G7" s="378">
        <f t="shared" si="0"/>
        <v>43559057</v>
      </c>
      <c r="H7" s="418"/>
    </row>
    <row r="8" spans="1:8" ht="15.95" customHeight="1">
      <c r="A8" s="131" t="s">
        <v>110</v>
      </c>
      <c r="B8" s="132"/>
      <c r="C8" s="132"/>
      <c r="D8" s="132"/>
      <c r="E8" s="132"/>
      <c r="F8" s="132"/>
      <c r="G8" s="132"/>
    </row>
    <row r="9" spans="1:8" ht="15.95" customHeight="1">
      <c r="A9" s="132" t="s">
        <v>111</v>
      </c>
      <c r="B9" s="125">
        <f>485139+137738</f>
        <v>622877</v>
      </c>
      <c r="C9" s="125">
        <f>503811+158592</f>
        <v>662403</v>
      </c>
      <c r="D9" s="125">
        <f>623341+175630</f>
        <v>798971</v>
      </c>
      <c r="E9" s="125">
        <f>722101+190656</f>
        <v>912757</v>
      </c>
      <c r="F9" s="125">
        <v>911891</v>
      </c>
      <c r="G9" s="125">
        <v>1089475</v>
      </c>
    </row>
    <row r="10" spans="1:8" ht="15.95" customHeight="1">
      <c r="A10" s="132" t="s">
        <v>112</v>
      </c>
      <c r="B10" s="127">
        <f t="shared" ref="B10:G10" si="1">SUM(B11:B13)</f>
        <v>27246427</v>
      </c>
      <c r="C10" s="127">
        <f t="shared" si="1"/>
        <v>30410783</v>
      </c>
      <c r="D10" s="127">
        <f t="shared" si="1"/>
        <v>33951074</v>
      </c>
      <c r="E10" s="127">
        <f t="shared" ref="E10" si="2">SUM(E11:E13)</f>
        <v>39210384</v>
      </c>
      <c r="F10" s="127">
        <f t="shared" si="1"/>
        <v>37342220</v>
      </c>
      <c r="G10" s="127">
        <f t="shared" si="1"/>
        <v>42432487</v>
      </c>
    </row>
    <row r="11" spans="1:8" ht="15.95" customHeight="1">
      <c r="A11" s="132" t="s">
        <v>113</v>
      </c>
      <c r="B11" s="125">
        <v>257524</v>
      </c>
      <c r="C11" s="125">
        <v>300486</v>
      </c>
      <c r="D11" s="125">
        <v>331809</v>
      </c>
      <c r="E11" s="125">
        <v>278471</v>
      </c>
      <c r="F11" s="125">
        <v>372760</v>
      </c>
      <c r="G11" s="125">
        <v>409509</v>
      </c>
    </row>
    <row r="12" spans="1:8" ht="15.95" customHeight="1">
      <c r="A12" s="132" t="s">
        <v>114</v>
      </c>
      <c r="B12" s="125">
        <v>7622569</v>
      </c>
      <c r="C12" s="125">
        <v>8916051</v>
      </c>
      <c r="D12" s="125">
        <v>10273783</v>
      </c>
      <c r="E12" s="125">
        <v>13647800</v>
      </c>
      <c r="F12" s="125">
        <v>11844861</v>
      </c>
      <c r="G12" s="125">
        <v>13196645</v>
      </c>
    </row>
    <row r="13" spans="1:8" ht="15.95" customHeight="1">
      <c r="A13" s="132" t="s">
        <v>115</v>
      </c>
      <c r="B13" s="125">
        <v>19366334</v>
      </c>
      <c r="C13" s="125">
        <v>21194246</v>
      </c>
      <c r="D13" s="125">
        <v>23345482</v>
      </c>
      <c r="E13" s="125">
        <v>25284113</v>
      </c>
      <c r="F13" s="125">
        <v>25124599</v>
      </c>
      <c r="G13" s="125">
        <v>28826333</v>
      </c>
    </row>
    <row r="14" spans="1:8" ht="15.95" customHeight="1">
      <c r="A14" s="132" t="s">
        <v>103</v>
      </c>
      <c r="B14" s="125">
        <v>31729</v>
      </c>
      <c r="C14" s="125">
        <v>28157</v>
      </c>
      <c r="D14" s="125">
        <v>39088</v>
      </c>
      <c r="E14" s="125">
        <v>37544</v>
      </c>
      <c r="F14" s="125">
        <v>37163</v>
      </c>
      <c r="G14" s="125">
        <v>37095</v>
      </c>
    </row>
    <row r="15" spans="1:8" ht="15.95" customHeight="1">
      <c r="A15" s="133" t="s">
        <v>104</v>
      </c>
      <c r="B15" s="126"/>
      <c r="C15" s="126"/>
      <c r="D15" s="126"/>
      <c r="E15" s="126"/>
      <c r="F15" s="126"/>
      <c r="G15" s="126"/>
    </row>
    <row r="16" spans="1:8" ht="15.95" customHeight="1">
      <c r="A16" s="131" t="s">
        <v>105</v>
      </c>
      <c r="B16" s="127" t="str">
        <f t="shared" ref="B16:G16" si="3">IF(SUM(B18:B20)=B7," ","sai")</f>
        <v xml:space="preserve"> </v>
      </c>
      <c r="C16" s="127" t="str">
        <f t="shared" si="3"/>
        <v xml:space="preserve"> </v>
      </c>
      <c r="D16" s="127" t="str">
        <f t="shared" si="3"/>
        <v xml:space="preserve"> </v>
      </c>
      <c r="E16" s="127" t="str">
        <f t="shared" si="3"/>
        <v xml:space="preserve"> </v>
      </c>
      <c r="F16" s="127" t="str">
        <f t="shared" si="3"/>
        <v xml:space="preserve"> </v>
      </c>
      <c r="G16" s="127" t="str">
        <f t="shared" si="3"/>
        <v xml:space="preserve"> </v>
      </c>
    </row>
    <row r="17" spans="1:8" ht="15.95" customHeight="1">
      <c r="A17" s="133" t="s">
        <v>106</v>
      </c>
      <c r="B17" s="126"/>
      <c r="C17" s="126"/>
      <c r="D17" s="126"/>
      <c r="E17" s="126"/>
      <c r="F17" s="126"/>
      <c r="G17" s="126"/>
    </row>
    <row r="18" spans="1:8" ht="18" customHeight="1">
      <c r="A18" s="132" t="s">
        <v>116</v>
      </c>
      <c r="B18" s="125">
        <v>21720498</v>
      </c>
      <c r="C18" s="125">
        <v>23656317</v>
      </c>
      <c r="D18" s="125">
        <v>26861762</v>
      </c>
      <c r="E18" s="125">
        <v>28821224</v>
      </c>
      <c r="F18" s="125">
        <v>29809939</v>
      </c>
      <c r="G18" s="125">
        <v>33738858</v>
      </c>
      <c r="H18" s="418"/>
    </row>
    <row r="19" spans="1:8" ht="18" customHeight="1">
      <c r="A19" s="126" t="s">
        <v>117</v>
      </c>
      <c r="B19" s="125">
        <v>3397527</v>
      </c>
      <c r="C19" s="125">
        <v>3776553</v>
      </c>
      <c r="D19" s="125">
        <v>3946843</v>
      </c>
      <c r="E19" s="125">
        <v>4344318</v>
      </c>
      <c r="F19" s="125">
        <v>3918575</v>
      </c>
      <c r="G19" s="125">
        <v>4705973</v>
      </c>
      <c r="H19" s="418"/>
    </row>
    <row r="20" spans="1:8" ht="18" customHeight="1">
      <c r="A20" s="132" t="s">
        <v>118</v>
      </c>
      <c r="B20" s="125">
        <v>2783008</v>
      </c>
      <c r="C20" s="125">
        <v>3668473</v>
      </c>
      <c r="D20" s="125">
        <v>3980528</v>
      </c>
      <c r="E20" s="125">
        <v>6995143</v>
      </c>
      <c r="F20" s="125">
        <v>4562760</v>
      </c>
      <c r="G20" s="125">
        <v>5114226</v>
      </c>
      <c r="H20" s="418"/>
    </row>
    <row r="21" spans="1:8" ht="18" customHeight="1">
      <c r="A21" s="126"/>
      <c r="B21" s="427" t="s">
        <v>472</v>
      </c>
      <c r="C21" s="427"/>
      <c r="D21" s="427"/>
      <c r="E21" s="427"/>
      <c r="F21" s="427"/>
      <c r="G21" s="427"/>
    </row>
    <row r="22" spans="1:8" ht="18" customHeight="1">
      <c r="A22" s="130" t="s">
        <v>109</v>
      </c>
      <c r="B22" s="128">
        <f t="shared" ref="B22:D22" si="4">+B24+B25+B29</f>
        <v>100</v>
      </c>
      <c r="C22" s="128">
        <f t="shared" si="4"/>
        <v>99.999999999999986</v>
      </c>
      <c r="D22" s="128">
        <f t="shared" si="4"/>
        <v>99.999999999999986</v>
      </c>
      <c r="E22" s="128">
        <f t="shared" ref="E22:F22" si="5">+E24+E25+E29</f>
        <v>99.999999999999986</v>
      </c>
      <c r="F22" s="128">
        <f t="shared" si="5"/>
        <v>100</v>
      </c>
      <c r="G22" s="128">
        <f t="shared" ref="G22" si="6">+G24+G25+G29</f>
        <v>100</v>
      </c>
    </row>
    <row r="23" spans="1:8" ht="18" customHeight="1">
      <c r="A23" s="131" t="s">
        <v>110</v>
      </c>
      <c r="B23" s="125"/>
      <c r="C23" s="125"/>
      <c r="D23" s="125"/>
      <c r="E23" s="125"/>
      <c r="F23" s="125"/>
      <c r="G23" s="125"/>
    </row>
    <row r="24" spans="1:8" ht="18" customHeight="1">
      <c r="A24" s="132" t="s">
        <v>111</v>
      </c>
      <c r="B24" s="129">
        <f t="shared" ref="B24:D24" si="7">ROUND(B9/B$7*100,1)</f>
        <v>2.2000000000000002</v>
      </c>
      <c r="C24" s="129">
        <f t="shared" si="7"/>
        <v>2.1</v>
      </c>
      <c r="D24" s="129">
        <f t="shared" si="7"/>
        <v>2.2999999999999998</v>
      </c>
      <c r="E24" s="129">
        <f t="shared" ref="E24:F24" si="8">ROUND(E9/E$7*100,1)</f>
        <v>2.2999999999999998</v>
      </c>
      <c r="F24" s="129">
        <f t="shared" si="8"/>
        <v>2.4</v>
      </c>
      <c r="G24" s="129">
        <f t="shared" ref="G24" si="9">ROUND(G9/G$7*100,1)</f>
        <v>2.5</v>
      </c>
    </row>
    <row r="25" spans="1:8" ht="18" customHeight="1">
      <c r="A25" s="132" t="s">
        <v>112</v>
      </c>
      <c r="B25" s="129">
        <f t="shared" ref="B25:D25" si="10">+B26+B27+B28</f>
        <v>97.7</v>
      </c>
      <c r="C25" s="129">
        <f t="shared" si="10"/>
        <v>97.8</v>
      </c>
      <c r="D25" s="129">
        <f t="shared" si="10"/>
        <v>97.6</v>
      </c>
      <c r="E25" s="129">
        <f t="shared" ref="E25:F25" si="11">+E26+E27+E28</f>
        <v>97.6</v>
      </c>
      <c r="F25" s="129">
        <f t="shared" si="11"/>
        <v>97.5</v>
      </c>
      <c r="G25" s="129">
        <f t="shared" ref="G25" si="12">+G26+G27+G28</f>
        <v>97.4</v>
      </c>
    </row>
    <row r="26" spans="1:8" ht="18" customHeight="1">
      <c r="A26" s="132" t="s">
        <v>113</v>
      </c>
      <c r="B26" s="129">
        <f t="shared" ref="B26:D26" si="13">ROUND(B11/B$7*100,1)</f>
        <v>0.9</v>
      </c>
      <c r="C26" s="129">
        <f t="shared" si="13"/>
        <v>1</v>
      </c>
      <c r="D26" s="129">
        <f t="shared" si="13"/>
        <v>1</v>
      </c>
      <c r="E26" s="129">
        <f t="shared" ref="E26:F26" si="14">ROUND(E11/E$7*100,1)</f>
        <v>0.7</v>
      </c>
      <c r="F26" s="129">
        <f t="shared" si="14"/>
        <v>1</v>
      </c>
      <c r="G26" s="129">
        <f t="shared" ref="G26" si="15">ROUND(G11/G$7*100,1)</f>
        <v>0.9</v>
      </c>
    </row>
    <row r="27" spans="1:8" ht="18" customHeight="1">
      <c r="A27" s="132" t="s">
        <v>114</v>
      </c>
      <c r="B27" s="129">
        <f t="shared" ref="B27:D27" si="16">ROUND(B12/B$7*100,1)</f>
        <v>27.3</v>
      </c>
      <c r="C27" s="129">
        <f t="shared" si="16"/>
        <v>28.7</v>
      </c>
      <c r="D27" s="129">
        <f t="shared" si="16"/>
        <v>29.5</v>
      </c>
      <c r="E27" s="129">
        <f t="shared" ref="E27:F27" si="17">ROUND(E12/E$7*100,1)</f>
        <v>34</v>
      </c>
      <c r="F27" s="129">
        <f t="shared" si="17"/>
        <v>30.9</v>
      </c>
      <c r="G27" s="129">
        <f t="shared" ref="G27" si="18">ROUND(G12/G$7*100,1)</f>
        <v>30.3</v>
      </c>
    </row>
    <row r="28" spans="1:8" ht="18" customHeight="1">
      <c r="A28" s="132" t="s">
        <v>115</v>
      </c>
      <c r="B28" s="129">
        <f>ROUND(B13/B$7*100,1)+0.1</f>
        <v>69.5</v>
      </c>
      <c r="C28" s="129">
        <f t="shared" ref="C28" si="19">ROUND(C13/C$7*100,1)</f>
        <v>68.099999999999994</v>
      </c>
      <c r="D28" s="129">
        <f>ROUND(D13/D$7*100,1)</f>
        <v>67.099999999999994</v>
      </c>
      <c r="E28" s="129">
        <f>ROUND(E13/E$7*100,1)-0.1</f>
        <v>62.9</v>
      </c>
      <c r="F28" s="129">
        <f>ROUND(F13/F$7*100,1)</f>
        <v>65.599999999999994</v>
      </c>
      <c r="G28" s="129">
        <f>ROUND(G13/G$7*100,1)</f>
        <v>66.2</v>
      </c>
    </row>
    <row r="29" spans="1:8" ht="18" customHeight="1">
      <c r="A29" s="132" t="s">
        <v>103</v>
      </c>
      <c r="B29" s="129">
        <f t="shared" ref="B29:D29" si="20">ROUND(B14/B$7*100,1)</f>
        <v>0.1</v>
      </c>
      <c r="C29" s="129">
        <f t="shared" si="20"/>
        <v>0.1</v>
      </c>
      <c r="D29" s="129">
        <f t="shared" si="20"/>
        <v>0.1</v>
      </c>
      <c r="E29" s="129">
        <f t="shared" ref="E29:F29" si="21">ROUND(E14/E$7*100,1)</f>
        <v>0.1</v>
      </c>
      <c r="F29" s="129">
        <f t="shared" si="21"/>
        <v>0.1</v>
      </c>
      <c r="G29" s="129">
        <f t="shared" ref="G29" si="22">ROUND(G14/G$7*100,1)</f>
        <v>0.1</v>
      </c>
    </row>
    <row r="30" spans="1:8" ht="18" customHeight="1">
      <c r="A30" s="133" t="s">
        <v>104</v>
      </c>
      <c r="B30" s="379"/>
      <c r="C30" s="379"/>
      <c r="D30" s="379"/>
      <c r="E30" s="379"/>
      <c r="F30" s="379"/>
      <c r="G30" s="379"/>
    </row>
    <row r="31" spans="1:8" ht="18" customHeight="1">
      <c r="A31" s="131" t="s">
        <v>105</v>
      </c>
      <c r="B31" s="379"/>
      <c r="C31" s="379"/>
      <c r="D31" s="379"/>
      <c r="E31" s="379"/>
      <c r="F31" s="379"/>
      <c r="G31" s="379"/>
    </row>
    <row r="32" spans="1:8" ht="18" customHeight="1">
      <c r="A32" s="133" t="s">
        <v>106</v>
      </c>
      <c r="B32" s="379"/>
      <c r="C32" s="379"/>
      <c r="D32" s="379"/>
      <c r="E32" s="379"/>
      <c r="F32" s="379"/>
      <c r="G32" s="379"/>
    </row>
    <row r="33" spans="1:7" ht="15.95" customHeight="1">
      <c r="A33" s="132" t="s">
        <v>116</v>
      </c>
      <c r="B33" s="129">
        <f t="shared" ref="B33:C33" si="23">ROUND(B18/B$7*100,1)</f>
        <v>77.8</v>
      </c>
      <c r="C33" s="129">
        <f t="shared" si="23"/>
        <v>76.099999999999994</v>
      </c>
      <c r="D33" s="129">
        <f>ROUND(D18/D$7*100,1)+0.1</f>
        <v>77.3</v>
      </c>
      <c r="E33" s="129">
        <f t="shared" ref="E33:F33" si="24">ROUND(E18/E$7*100,1)</f>
        <v>71.8</v>
      </c>
      <c r="F33" s="129">
        <f t="shared" si="24"/>
        <v>77.900000000000006</v>
      </c>
      <c r="G33" s="129">
        <f t="shared" ref="G33" si="25">ROUND(G18/G$7*100,1)</f>
        <v>77.5</v>
      </c>
    </row>
    <row r="34" spans="1:7" ht="15.95" customHeight="1">
      <c r="A34" s="126" t="s">
        <v>117</v>
      </c>
      <c r="B34" s="129">
        <f t="shared" ref="B34:D34" si="26">ROUND(B19/B$7*100,1)</f>
        <v>12.2</v>
      </c>
      <c r="C34" s="129">
        <f t="shared" si="26"/>
        <v>12.1</v>
      </c>
      <c r="D34" s="129">
        <f t="shared" si="26"/>
        <v>11.3</v>
      </c>
      <c r="E34" s="129">
        <f t="shared" ref="E34:F34" si="27">ROUND(E19/E$7*100,1)</f>
        <v>10.8</v>
      </c>
      <c r="F34" s="129">
        <f t="shared" si="27"/>
        <v>10.199999999999999</v>
      </c>
      <c r="G34" s="129">
        <f t="shared" ref="G34" si="28">ROUND(G19/G$7*100,1)</f>
        <v>10.8</v>
      </c>
    </row>
    <row r="35" spans="1:7" ht="15.95" customHeight="1">
      <c r="A35" s="132" t="s">
        <v>118</v>
      </c>
      <c r="B35" s="129">
        <f t="shared" ref="B35:D35" si="29">ROUND(B20/B$7*100,1)</f>
        <v>10</v>
      </c>
      <c r="C35" s="129">
        <f t="shared" si="29"/>
        <v>11.8</v>
      </c>
      <c r="D35" s="129">
        <f t="shared" si="29"/>
        <v>11.4</v>
      </c>
      <c r="E35" s="129">
        <f t="shared" ref="E35:F35" si="30">ROUND(E20/E$7*100,1)</f>
        <v>17.399999999999999</v>
      </c>
      <c r="F35" s="129">
        <f t="shared" si="30"/>
        <v>11.9</v>
      </c>
      <c r="G35" s="129">
        <f t="shared" ref="G35" si="31">ROUND(G20/G$7*100,1)</f>
        <v>11.7</v>
      </c>
    </row>
    <row r="36" spans="1:7" ht="6" customHeight="1">
      <c r="A36" s="64"/>
      <c r="B36" s="65"/>
      <c r="C36" s="65"/>
      <c r="D36" s="65"/>
      <c r="E36" s="65"/>
      <c r="F36" s="65"/>
      <c r="G36" s="65"/>
    </row>
  </sheetData>
  <mergeCells count="4">
    <mergeCell ref="A1:G1"/>
    <mergeCell ref="A2:G2"/>
    <mergeCell ref="B6:G6"/>
    <mergeCell ref="B21:G21"/>
  </mergeCells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>
    <oddFooter xml:space="preserve">&amp;L       &amp;12Thương mại và Du lịch - Trade and Tourism&amp;R&amp;12&amp;P+378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activeCell="A21" sqref="A21:XFD26"/>
    </sheetView>
  </sheetViews>
  <sheetFormatPr defaultColWidth="8" defaultRowHeight="12.75"/>
  <cols>
    <col min="1" max="1" width="14.42578125" style="8" customWidth="1"/>
    <col min="2" max="2" width="13.7109375" style="8" customWidth="1"/>
    <col min="3" max="4" width="15.140625" style="8" customWidth="1"/>
    <col min="5" max="5" width="12.140625" style="8" customWidth="1"/>
    <col min="6" max="6" width="13" style="8" customWidth="1"/>
    <col min="7" max="7" width="10.85546875" style="383" customWidth="1"/>
    <col min="8" max="8" width="14.42578125" style="8" customWidth="1"/>
    <col min="9" max="16384" width="8" style="8"/>
  </cols>
  <sheetData>
    <row r="1" spans="1:7" s="34" customFormat="1" ht="20.100000000000001" customHeight="1">
      <c r="A1" s="66" t="s">
        <v>411</v>
      </c>
      <c r="B1" s="67"/>
      <c r="C1" s="67"/>
      <c r="D1" s="67"/>
      <c r="E1" s="67"/>
      <c r="F1" s="67"/>
      <c r="G1" s="380"/>
    </row>
    <row r="2" spans="1:7" s="34" customFormat="1" ht="20.100000000000001" customHeight="1">
      <c r="A2" s="66" t="s">
        <v>119</v>
      </c>
      <c r="B2" s="67"/>
      <c r="C2" s="67"/>
      <c r="D2" s="67"/>
      <c r="E2" s="67"/>
      <c r="F2" s="67"/>
      <c r="G2" s="380"/>
    </row>
    <row r="3" spans="1:7" s="34" customFormat="1" ht="20.100000000000001" customHeight="1">
      <c r="A3" s="68" t="s">
        <v>120</v>
      </c>
      <c r="B3" s="67"/>
      <c r="C3" s="67"/>
      <c r="D3" s="67"/>
      <c r="E3" s="67"/>
      <c r="F3" s="67"/>
      <c r="G3" s="380"/>
    </row>
    <row r="4" spans="1:7" s="34" customFormat="1" ht="15.95" customHeight="1">
      <c r="A4" s="69" t="s">
        <v>121</v>
      </c>
      <c r="B4" s="67"/>
      <c r="C4" s="67"/>
      <c r="D4" s="67"/>
      <c r="E4" s="67"/>
      <c r="F4" s="67"/>
      <c r="G4" s="380"/>
    </row>
    <row r="5" spans="1:7" s="35" customFormat="1" ht="15.95" customHeight="1">
      <c r="A5" s="43"/>
      <c r="B5" s="43"/>
      <c r="C5" s="43"/>
      <c r="D5" s="43"/>
      <c r="E5" s="43"/>
      <c r="F5" s="43"/>
      <c r="G5" s="381"/>
    </row>
    <row r="6" spans="1:7" s="36" customFormat="1" ht="18" customHeight="1">
      <c r="A6" s="44"/>
      <c r="B6" s="45" t="s">
        <v>392</v>
      </c>
      <c r="C6" s="428" t="s">
        <v>62</v>
      </c>
      <c r="D6" s="429"/>
      <c r="E6" s="429"/>
      <c r="F6" s="429"/>
      <c r="G6" s="382"/>
    </row>
    <row r="7" spans="1:7" s="36" customFormat="1" ht="27.75" customHeight="1">
      <c r="A7" s="46"/>
      <c r="B7" s="47" t="s">
        <v>63</v>
      </c>
      <c r="C7" s="45" t="s">
        <v>391</v>
      </c>
      <c r="D7" s="11" t="s">
        <v>64</v>
      </c>
      <c r="E7" s="11" t="s">
        <v>393</v>
      </c>
      <c r="F7" s="11" t="s">
        <v>390</v>
      </c>
      <c r="G7" s="382"/>
    </row>
    <row r="8" spans="1:7" ht="24.75" customHeight="1">
      <c r="A8" s="46"/>
      <c r="C8" s="293" t="s">
        <v>65</v>
      </c>
      <c r="D8" s="47" t="s">
        <v>388</v>
      </c>
      <c r="E8" s="295" t="s">
        <v>67</v>
      </c>
      <c r="F8" s="294" t="s">
        <v>68</v>
      </c>
    </row>
    <row r="9" spans="1:7" ht="26.25" customHeight="1">
      <c r="A9" s="46"/>
      <c r="B9" s="48"/>
      <c r="C9" s="50"/>
      <c r="D9" s="48" t="s">
        <v>389</v>
      </c>
      <c r="E9" s="48"/>
      <c r="F9" s="49"/>
    </row>
    <row r="10" spans="1:7" ht="18" customHeight="1">
      <c r="A10" s="37"/>
      <c r="B10" s="38"/>
      <c r="C10" s="39"/>
      <c r="D10" s="39"/>
      <c r="E10" s="39"/>
      <c r="F10" s="39"/>
    </row>
    <row r="11" spans="1:7" ht="18" customHeight="1">
      <c r="A11" s="70"/>
      <c r="B11" s="430" t="s">
        <v>470</v>
      </c>
      <c r="C11" s="430"/>
      <c r="D11" s="430"/>
      <c r="E11" s="430"/>
      <c r="F11" s="430"/>
    </row>
    <row r="12" spans="1:7" ht="23.1" customHeight="1">
      <c r="A12" s="41">
        <v>2016</v>
      </c>
      <c r="B12" s="291">
        <v>27901033</v>
      </c>
      <c r="C12" s="292">
        <v>21720498</v>
      </c>
      <c r="D12" s="292">
        <v>3397527</v>
      </c>
      <c r="E12" s="344">
        <f>'253'!B$16</f>
        <v>10346</v>
      </c>
      <c r="F12" s="344">
        <f t="shared" ref="F12:F17" si="0">B12-C12-D12-E12</f>
        <v>2772662</v>
      </c>
    </row>
    <row r="13" spans="1:7" ht="23.1" customHeight="1">
      <c r="A13" s="41">
        <v>2017</v>
      </c>
      <c r="B13" s="291">
        <f>'243'!C$7</f>
        <v>31101343</v>
      </c>
      <c r="C13" s="292">
        <f>'243'!C$18</f>
        <v>23656317</v>
      </c>
      <c r="D13" s="292">
        <f>'243'!C$19</f>
        <v>3776553</v>
      </c>
      <c r="E13" s="344">
        <f>'253'!C$16</f>
        <v>13664</v>
      </c>
      <c r="F13" s="344">
        <f t="shared" si="0"/>
        <v>3654809</v>
      </c>
    </row>
    <row r="14" spans="1:7" ht="23.1" customHeight="1">
      <c r="A14" s="41">
        <v>2018</v>
      </c>
      <c r="B14" s="291">
        <f>'243'!D$7</f>
        <v>34789133</v>
      </c>
      <c r="C14" s="292">
        <f>'243'!D$18</f>
        <v>26861762</v>
      </c>
      <c r="D14" s="292">
        <f>'243'!D$19</f>
        <v>3946843</v>
      </c>
      <c r="E14" s="344">
        <f>'253'!D$16</f>
        <v>14096</v>
      </c>
      <c r="F14" s="344">
        <f t="shared" si="0"/>
        <v>3966432</v>
      </c>
      <c r="G14" s="384">
        <f>E14+F14</f>
        <v>3980528</v>
      </c>
    </row>
    <row r="15" spans="1:7" ht="23.1" customHeight="1">
      <c r="A15" s="41">
        <v>2019</v>
      </c>
      <c r="B15" s="291">
        <f>'243'!E$7</f>
        <v>40160685</v>
      </c>
      <c r="C15" s="292">
        <f>'243'!E$18</f>
        <v>28821224</v>
      </c>
      <c r="D15" s="292">
        <f>'243'!E$19</f>
        <v>4344318</v>
      </c>
      <c r="E15" s="344">
        <f>'253'!E$16</f>
        <v>20661</v>
      </c>
      <c r="F15" s="344">
        <f t="shared" si="0"/>
        <v>6974482</v>
      </c>
      <c r="G15" s="384">
        <f>E15+F15</f>
        <v>6995143</v>
      </c>
    </row>
    <row r="16" spans="1:7" ht="23.1" customHeight="1">
      <c r="A16" s="41">
        <v>2020</v>
      </c>
      <c r="B16" s="291">
        <f>'243'!F$7</f>
        <v>38291274</v>
      </c>
      <c r="C16" s="292">
        <f>'243'!F$18</f>
        <v>29809939</v>
      </c>
      <c r="D16" s="292">
        <f>'243'!F$19</f>
        <v>3918575</v>
      </c>
      <c r="E16" s="344">
        <f>'253'!F$16</f>
        <v>6719</v>
      </c>
      <c r="F16" s="344">
        <f t="shared" si="0"/>
        <v>4556041</v>
      </c>
      <c r="G16" s="384"/>
    </row>
    <row r="17" spans="1:26" ht="23.1" customHeight="1">
      <c r="A17" s="41">
        <v>2021</v>
      </c>
      <c r="B17" s="291">
        <f>'243'!G$7</f>
        <v>43559057</v>
      </c>
      <c r="C17" s="292">
        <f>'243'!G$18</f>
        <v>33738858</v>
      </c>
      <c r="D17" s="292">
        <f>'243'!G$19</f>
        <v>4705973</v>
      </c>
      <c r="E17" s="344">
        <f>'253'!G$16</f>
        <v>3525</v>
      </c>
      <c r="F17" s="344">
        <f t="shared" si="0"/>
        <v>5110701</v>
      </c>
      <c r="G17" s="384"/>
    </row>
    <row r="18" spans="1:26" s="383" customFormat="1" ht="18" customHeight="1">
      <c r="A18" s="388"/>
      <c r="B18" s="385">
        <f>B15/B14*100</f>
        <v>115.44031580206382</v>
      </c>
      <c r="C18" s="385">
        <f t="shared" ref="C18:G18" si="1">C15/C14*100</f>
        <v>107.29461455283536</v>
      </c>
      <c r="D18" s="385">
        <f t="shared" si="1"/>
        <v>110.07070714492571</v>
      </c>
      <c r="E18" s="385">
        <f t="shared" si="1"/>
        <v>146.57349602724176</v>
      </c>
      <c r="F18" s="385">
        <f t="shared" si="1"/>
        <v>175.83767980895678</v>
      </c>
      <c r="G18" s="385">
        <f t="shared" si="1"/>
        <v>175.73404834735493</v>
      </c>
    </row>
    <row r="19" spans="1:26" ht="18" customHeight="1">
      <c r="A19" s="70"/>
      <c r="B19" s="431" t="s">
        <v>66</v>
      </c>
      <c r="C19" s="432"/>
      <c r="D19" s="432"/>
      <c r="E19" s="432"/>
      <c r="F19" s="432"/>
    </row>
    <row r="20" spans="1:26" ht="18" customHeight="1">
      <c r="A20" s="70"/>
      <c r="B20" s="71"/>
      <c r="C20" s="72"/>
      <c r="D20" s="72"/>
      <c r="E20" s="72"/>
      <c r="F20" s="72"/>
    </row>
    <row r="21" spans="1:26" ht="23.1" customHeight="1">
      <c r="A21" s="41">
        <v>2016</v>
      </c>
      <c r="B21" s="345">
        <f t="shared" ref="B21:B22" si="2">SUM(C21:F21)</f>
        <v>100</v>
      </c>
      <c r="C21" s="346">
        <f>ROUND(C12/$B12*100,1)+0.1</f>
        <v>77.899999999999991</v>
      </c>
      <c r="D21" s="346">
        <f t="shared" ref="D21:F26" si="3">ROUND(D12/$B12*100,1)</f>
        <v>12.2</v>
      </c>
      <c r="E21" s="346">
        <f t="shared" si="3"/>
        <v>0</v>
      </c>
      <c r="F21" s="346">
        <f t="shared" si="3"/>
        <v>9.9</v>
      </c>
      <c r="G21" s="386"/>
    </row>
    <row r="22" spans="1:26" ht="23.1" customHeight="1">
      <c r="A22" s="41">
        <v>2017</v>
      </c>
      <c r="B22" s="345">
        <f t="shared" si="2"/>
        <v>99.999999999999986</v>
      </c>
      <c r="C22" s="346">
        <f>ROUND(C13/$B13*100,1)</f>
        <v>76.099999999999994</v>
      </c>
      <c r="D22" s="346">
        <f t="shared" si="3"/>
        <v>12.1</v>
      </c>
      <c r="E22" s="346">
        <f t="shared" si="3"/>
        <v>0</v>
      </c>
      <c r="F22" s="346">
        <f t="shared" si="3"/>
        <v>11.8</v>
      </c>
      <c r="G22" s="386"/>
    </row>
    <row r="23" spans="1:26" ht="23.1" customHeight="1">
      <c r="A23" s="41">
        <v>2018</v>
      </c>
      <c r="B23" s="345">
        <f t="shared" ref="B23" si="4">SUM(C23:F23)</f>
        <v>100</v>
      </c>
      <c r="C23" s="346">
        <f>ROUND(C14/$B14*100,1)+0.1</f>
        <v>77.3</v>
      </c>
      <c r="D23" s="346">
        <f t="shared" si="3"/>
        <v>11.3</v>
      </c>
      <c r="E23" s="346">
        <f t="shared" si="3"/>
        <v>0</v>
      </c>
      <c r="F23" s="346">
        <f t="shared" si="3"/>
        <v>11.4</v>
      </c>
      <c r="G23" s="386"/>
      <c r="Z23" s="8">
        <f>5907.5+8652.2</f>
        <v>14559.7</v>
      </c>
    </row>
    <row r="24" spans="1:26" ht="23.1" customHeight="1">
      <c r="A24" s="41">
        <v>2019</v>
      </c>
      <c r="B24" s="345">
        <f t="shared" ref="B24" si="5">SUM(C24:F24)</f>
        <v>100</v>
      </c>
      <c r="C24" s="346">
        <f>ROUND(C15/$B15*100,1)-0.1</f>
        <v>71.7</v>
      </c>
      <c r="D24" s="346">
        <f t="shared" si="3"/>
        <v>10.8</v>
      </c>
      <c r="E24" s="346">
        <f t="shared" si="3"/>
        <v>0.1</v>
      </c>
      <c r="F24" s="346">
        <f t="shared" si="3"/>
        <v>17.399999999999999</v>
      </c>
      <c r="G24" s="387">
        <f>ROUND(G15/$B15*100,1)</f>
        <v>17.399999999999999</v>
      </c>
    </row>
    <row r="25" spans="1:26" ht="23.1" customHeight="1">
      <c r="A25" s="41">
        <v>2020</v>
      </c>
      <c r="B25" s="345">
        <f t="shared" ref="B25" si="6">SUM(C25:F25)</f>
        <v>100.00000000000001</v>
      </c>
      <c r="C25" s="346">
        <f>ROUND(C16/$B16*100,1)</f>
        <v>77.900000000000006</v>
      </c>
      <c r="D25" s="346">
        <f t="shared" si="3"/>
        <v>10.199999999999999</v>
      </c>
      <c r="E25" s="346">
        <f t="shared" si="3"/>
        <v>0</v>
      </c>
      <c r="F25" s="346">
        <f t="shared" si="3"/>
        <v>11.9</v>
      </c>
      <c r="G25" s="387"/>
    </row>
    <row r="26" spans="1:26" ht="23.1" customHeight="1">
      <c r="A26" s="41">
        <v>2021</v>
      </c>
      <c r="B26" s="345">
        <f t="shared" ref="B26" si="7">SUM(C26:F26)</f>
        <v>100</v>
      </c>
      <c r="C26" s="346">
        <f>ROUND(C17/$B17*100,1)</f>
        <v>77.5</v>
      </c>
      <c r="D26" s="346">
        <f t="shared" si="3"/>
        <v>10.8</v>
      </c>
      <c r="E26" s="346">
        <f t="shared" si="3"/>
        <v>0</v>
      </c>
      <c r="F26" s="346">
        <f t="shared" si="3"/>
        <v>11.7</v>
      </c>
      <c r="G26" s="387"/>
    </row>
    <row r="27" spans="1:26" ht="7.5" customHeight="1">
      <c r="A27" s="9"/>
      <c r="B27" s="296"/>
      <c r="C27" s="297"/>
      <c r="D27" s="297"/>
      <c r="E27" s="297"/>
      <c r="F27" s="297"/>
      <c r="G27" s="386"/>
    </row>
    <row r="28" spans="1:26">
      <c r="B28" s="40"/>
      <c r="C28" s="40"/>
      <c r="D28" s="40"/>
      <c r="E28" s="40"/>
      <c r="F28" s="40"/>
      <c r="G28" s="386"/>
    </row>
    <row r="29" spans="1:26">
      <c r="B29" s="40"/>
      <c r="C29" s="40"/>
      <c r="D29" s="40"/>
      <c r="E29" s="40"/>
      <c r="F29" s="40"/>
      <c r="G29" s="386"/>
    </row>
    <row r="30" spans="1:26">
      <c r="B30" s="40"/>
      <c r="C30" s="40"/>
      <c r="D30" s="40"/>
      <c r="E30" s="40"/>
      <c r="F30" s="40"/>
      <c r="G30" s="386"/>
    </row>
    <row r="31" spans="1:26">
      <c r="B31" s="40"/>
      <c r="C31" s="40"/>
      <c r="D31" s="40"/>
      <c r="E31" s="40"/>
      <c r="F31" s="40"/>
      <c r="G31" s="386"/>
    </row>
  </sheetData>
  <mergeCells count="3">
    <mergeCell ref="C6:F6"/>
    <mergeCell ref="B11:F11"/>
    <mergeCell ref="B19:F19"/>
  </mergeCells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>
    <oddFooter xml:space="preserve">&amp;L       &amp;12Thương mại và Du lịch - Trade and Tourism&amp;R&amp;12&amp;P+378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workbookViewId="0">
      <selection activeCell="B3" sqref="B1:Q1048576"/>
    </sheetView>
  </sheetViews>
  <sheetFormatPr defaultColWidth="10.28515625" defaultRowHeight="16.5"/>
  <cols>
    <col min="1" max="1" width="27.5703125" style="152" customWidth="1"/>
    <col min="2" max="2" width="11.42578125" style="152" customWidth="1"/>
    <col min="3" max="7" width="11.140625" style="152" customWidth="1"/>
    <col min="8" max="16384" width="10.28515625" style="152"/>
  </cols>
  <sheetData>
    <row r="1" spans="1:7" s="148" customFormat="1" ht="47.1" customHeight="1">
      <c r="A1" s="433" t="s">
        <v>420</v>
      </c>
      <c r="B1" s="433"/>
      <c r="C1" s="433"/>
      <c r="D1" s="433"/>
      <c r="E1" s="433"/>
      <c r="F1" s="433"/>
      <c r="G1" s="433"/>
    </row>
    <row r="2" spans="1:7" s="148" customFormat="1" ht="24" customHeight="1">
      <c r="A2" s="434" t="s">
        <v>239</v>
      </c>
      <c r="B2" s="434"/>
      <c r="C2" s="434"/>
      <c r="D2" s="434"/>
      <c r="E2" s="434"/>
      <c r="F2" s="434"/>
      <c r="G2" s="434"/>
    </row>
    <row r="3" spans="1:7" s="148" customFormat="1" ht="24" customHeight="1">
      <c r="A3" s="154"/>
    </row>
    <row r="4" spans="1:7" s="148" customFormat="1" ht="24.75" customHeight="1">
      <c r="A4" s="154"/>
      <c r="B4" s="154"/>
      <c r="C4" s="154"/>
      <c r="D4" s="154"/>
      <c r="E4" s="154"/>
      <c r="F4" s="154"/>
      <c r="G4" s="154"/>
    </row>
    <row r="5" spans="1:7" s="235" customFormat="1" ht="26.25" customHeight="1">
      <c r="A5" s="271"/>
      <c r="B5" s="243"/>
      <c r="C5" s="243"/>
      <c r="D5" s="243"/>
      <c r="E5" s="243"/>
      <c r="F5" s="243"/>
      <c r="G5" s="299" t="s">
        <v>137</v>
      </c>
    </row>
    <row r="6" spans="1:7" s="235" customFormat="1" ht="24" customHeight="1">
      <c r="A6" s="150"/>
      <c r="B6" s="341">
        <v>2016</v>
      </c>
      <c r="C6" s="341">
        <v>2017</v>
      </c>
      <c r="D6" s="341">
        <v>2018</v>
      </c>
      <c r="E6" s="341">
        <v>2019</v>
      </c>
      <c r="F6" s="391">
        <v>2020</v>
      </c>
      <c r="G6" s="411">
        <v>2021</v>
      </c>
    </row>
    <row r="7" spans="1:7" s="235" customFormat="1" ht="24" customHeight="1">
      <c r="A7" s="365" t="s">
        <v>138</v>
      </c>
      <c r="B7" s="154" t="str">
        <f>IF(B8='243'!B7," ","sai")</f>
        <v xml:space="preserve"> </v>
      </c>
      <c r="C7" s="154" t="str">
        <f>IF(C8='243'!C7," ","sai")</f>
        <v xml:space="preserve"> </v>
      </c>
      <c r="D7" s="154" t="str">
        <f>IF(D8='243'!D7," ","sai")</f>
        <v xml:space="preserve"> </v>
      </c>
      <c r="E7" s="154" t="str">
        <f>IF(E8='243'!E7," ","sai")</f>
        <v xml:space="preserve"> </v>
      </c>
      <c r="F7" s="154" t="str">
        <f>IF(F8='243'!F7," ","sai")</f>
        <v xml:space="preserve"> </v>
      </c>
      <c r="G7" s="154" t="str">
        <f>IF(G8='243'!G7," ","sai")</f>
        <v xml:space="preserve"> </v>
      </c>
    </row>
    <row r="8" spans="1:7" s="235" customFormat="1" ht="28.5" customHeight="1">
      <c r="A8" s="155" t="s">
        <v>139</v>
      </c>
      <c r="B8" s="366">
        <f t="shared" ref="B8:G8" si="0">B10+B11+B12+B13+B14+B15+B16+B17</f>
        <v>27901033</v>
      </c>
      <c r="C8" s="366">
        <f t="shared" si="0"/>
        <v>31101343</v>
      </c>
      <c r="D8" s="366">
        <f t="shared" si="0"/>
        <v>34789133</v>
      </c>
      <c r="E8" s="366">
        <f t="shared" si="0"/>
        <v>40160685</v>
      </c>
      <c r="F8" s="366">
        <f t="shared" si="0"/>
        <v>38291274</v>
      </c>
      <c r="G8" s="366">
        <f t="shared" si="0"/>
        <v>43559057</v>
      </c>
    </row>
    <row r="9" spans="1:7" s="235" customFormat="1" ht="39.950000000000003" customHeight="1">
      <c r="A9" s="157"/>
    </row>
    <row r="10" spans="1:7" s="235" customFormat="1" ht="24" customHeight="1">
      <c r="A10" s="235" t="s">
        <v>140</v>
      </c>
      <c r="B10" s="264">
        <v>9623854</v>
      </c>
      <c r="C10" s="264">
        <v>10728000</v>
      </c>
      <c r="D10" s="264">
        <f>12229947-1</f>
        <v>12229946</v>
      </c>
      <c r="E10" s="264">
        <v>15503580</v>
      </c>
      <c r="F10" s="264">
        <v>14050232</v>
      </c>
      <c r="G10" s="264">
        <v>16052329</v>
      </c>
    </row>
    <row r="11" spans="1:7" s="235" customFormat="1" ht="24" customHeight="1">
      <c r="A11" s="235" t="s">
        <v>141</v>
      </c>
      <c r="B11" s="264">
        <v>2993052</v>
      </c>
      <c r="C11" s="264">
        <v>3292717</v>
      </c>
      <c r="D11" s="264">
        <v>3340392</v>
      </c>
      <c r="E11" s="264">
        <v>3547712</v>
      </c>
      <c r="F11" s="264">
        <v>3486245</v>
      </c>
      <c r="G11" s="264">
        <v>3970380</v>
      </c>
    </row>
    <row r="12" spans="1:7" s="235" customFormat="1" ht="24" customHeight="1">
      <c r="A12" s="235" t="s">
        <v>142</v>
      </c>
      <c r="B12" s="264">
        <v>2757919</v>
      </c>
      <c r="C12" s="264">
        <v>3091462</v>
      </c>
      <c r="D12" s="264">
        <v>3333360</v>
      </c>
      <c r="E12" s="264">
        <v>3382102</v>
      </c>
      <c r="F12" s="264">
        <v>3373394</v>
      </c>
      <c r="G12" s="264">
        <v>3832334</v>
      </c>
    </row>
    <row r="13" spans="1:7" s="235" customFormat="1" ht="24" customHeight="1">
      <c r="A13" s="235" t="s">
        <v>143</v>
      </c>
      <c r="B13" s="264">
        <v>2972064</v>
      </c>
      <c r="C13" s="264">
        <v>3248901</v>
      </c>
      <c r="D13" s="264">
        <v>3827695</v>
      </c>
      <c r="E13" s="264">
        <v>4549252</v>
      </c>
      <c r="F13" s="264">
        <v>4308437</v>
      </c>
      <c r="G13" s="264">
        <v>4897798</v>
      </c>
    </row>
    <row r="14" spans="1:7" s="235" customFormat="1" ht="24" customHeight="1">
      <c r="A14" s="235" t="s">
        <v>144</v>
      </c>
      <c r="B14" s="264">
        <v>1460047</v>
      </c>
      <c r="C14" s="264">
        <v>1651604</v>
      </c>
      <c r="D14" s="264">
        <v>1934473</v>
      </c>
      <c r="E14" s="264">
        <v>2149260</v>
      </c>
      <c r="F14" s="264">
        <v>2123166</v>
      </c>
      <c r="G14" s="264">
        <v>2400479</v>
      </c>
    </row>
    <row r="15" spans="1:7" s="235" customFormat="1" ht="24" customHeight="1">
      <c r="A15" s="235" t="s">
        <v>145</v>
      </c>
      <c r="B15" s="264">
        <v>3191415</v>
      </c>
      <c r="C15" s="264">
        <v>3585891</v>
      </c>
      <c r="D15" s="264">
        <v>3888877</v>
      </c>
      <c r="E15" s="264">
        <v>4480089</v>
      </c>
      <c r="F15" s="264">
        <v>4488328</v>
      </c>
      <c r="G15" s="264">
        <v>5078175</v>
      </c>
    </row>
    <row r="16" spans="1:7" s="235" customFormat="1" ht="24" customHeight="1">
      <c r="A16" s="235" t="s">
        <v>146</v>
      </c>
      <c r="B16" s="264">
        <v>2749463</v>
      </c>
      <c r="C16" s="264">
        <v>3104550</v>
      </c>
      <c r="D16" s="264">
        <v>3518552</v>
      </c>
      <c r="E16" s="264">
        <v>3738823</v>
      </c>
      <c r="F16" s="264">
        <v>3696122</v>
      </c>
      <c r="G16" s="264">
        <v>4198939</v>
      </c>
    </row>
    <row r="17" spans="1:7" s="235" customFormat="1" ht="24" customHeight="1">
      <c r="A17" s="235" t="s">
        <v>147</v>
      </c>
      <c r="B17" s="264">
        <v>2153219</v>
      </c>
      <c r="C17" s="264">
        <v>2398218</v>
      </c>
      <c r="D17" s="264">
        <v>2715838</v>
      </c>
      <c r="E17" s="264">
        <v>2809867</v>
      </c>
      <c r="F17" s="264">
        <v>2765350</v>
      </c>
      <c r="G17" s="264">
        <v>3128623</v>
      </c>
    </row>
    <row r="18" spans="1:7" s="235" customFormat="1" ht="11.25" customHeight="1">
      <c r="A18" s="271"/>
      <c r="B18" s="243"/>
      <c r="C18" s="243"/>
      <c r="D18" s="243"/>
      <c r="E18" s="243"/>
      <c r="F18" s="243"/>
      <c r="G18" s="243"/>
    </row>
    <row r="19" spans="1:7" s="235" customFormat="1" ht="24" customHeight="1">
      <c r="A19" s="367"/>
    </row>
    <row r="20" spans="1:7" s="235" customFormat="1" ht="24" customHeight="1">
      <c r="A20" s="367"/>
    </row>
    <row r="21" spans="1:7" s="235" customFormat="1" ht="24" customHeight="1">
      <c r="A21" s="367"/>
    </row>
    <row r="22" spans="1:7" s="148" customFormat="1" ht="19.5" customHeight="1">
      <c r="A22" s="159"/>
    </row>
    <row r="23" spans="1:7" s="148" customFormat="1" ht="20.100000000000001" customHeight="1">
      <c r="A23" s="159"/>
    </row>
    <row r="24" spans="1:7" s="148" customFormat="1" ht="20.100000000000001" customHeight="1">
      <c r="A24" s="159"/>
    </row>
    <row r="25" spans="1:7" s="148" customFormat="1" ht="24.75" customHeight="1"/>
    <row r="26" spans="1:7" ht="28.5" hidden="1" customHeight="1">
      <c r="A26" s="160" t="s">
        <v>148</v>
      </c>
    </row>
    <row r="27" spans="1:7" ht="17.100000000000001" customHeight="1"/>
    <row r="28" spans="1:7" ht="17.100000000000001" customHeight="1"/>
    <row r="29" spans="1:7" ht="17.100000000000001" customHeight="1"/>
    <row r="30" spans="1:7" ht="17.100000000000001" customHeight="1"/>
    <row r="31" spans="1:7" ht="17.100000000000001" customHeight="1"/>
    <row r="32" spans="1:7" ht="17.100000000000001" customHeight="1"/>
    <row r="33" spans="10:10" ht="17.100000000000001" customHeight="1"/>
    <row r="34" spans="10:10" ht="17.100000000000001" customHeight="1">
      <c r="J34" s="152">
        <f>5907.5+8652.2</f>
        <v>14559.7</v>
      </c>
    </row>
    <row r="35" spans="10:10" ht="17.100000000000001" customHeight="1"/>
  </sheetData>
  <mergeCells count="2">
    <mergeCell ref="A1:G1"/>
    <mergeCell ref="A2:G2"/>
  </mergeCells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79"/>
  <sheetViews>
    <sheetView topLeftCell="A22" workbookViewId="0">
      <selection activeCell="J35" sqref="J35"/>
    </sheetView>
  </sheetViews>
  <sheetFormatPr defaultColWidth="9.140625" defaultRowHeight="15.95" customHeight="1"/>
  <cols>
    <col min="1" max="1" width="34.85546875" style="347" customWidth="1"/>
    <col min="2" max="2" width="9.85546875" style="347" customWidth="1"/>
    <col min="3" max="4" width="10.140625" style="347" customWidth="1"/>
    <col min="5" max="7" width="9.7109375" style="347" customWidth="1"/>
    <col min="8" max="16384" width="9.140625" style="347"/>
  </cols>
  <sheetData>
    <row r="1" spans="1:7" ht="34.5" customHeight="1">
      <c r="A1" s="435" t="s">
        <v>421</v>
      </c>
      <c r="B1" s="435"/>
      <c r="C1" s="435"/>
      <c r="D1" s="435"/>
      <c r="E1" s="435"/>
      <c r="F1" s="435"/>
      <c r="G1" s="435"/>
    </row>
    <row r="2" spans="1:7" ht="20.100000000000001" customHeight="1">
      <c r="A2" s="348" t="s">
        <v>240</v>
      </c>
      <c r="B2" s="348"/>
    </row>
    <row r="3" spans="1:7" ht="20.100000000000001" customHeight="1">
      <c r="A3" s="349" t="s">
        <v>241</v>
      </c>
    </row>
    <row r="4" spans="1:7" ht="18" customHeight="1">
      <c r="B4" s="347" t="str">
        <f>IF(B7='243'!B18," ","sai")</f>
        <v xml:space="preserve"> </v>
      </c>
      <c r="C4" s="347" t="str">
        <f>IF(C7='243'!C18," ","sai")</f>
        <v xml:space="preserve"> </v>
      </c>
      <c r="D4" s="347" t="str">
        <f>IF(D7='243'!D18," ","sai")</f>
        <v xml:space="preserve"> </v>
      </c>
      <c r="E4" s="347" t="str">
        <f>IF(E7='243'!E18," ","sai")</f>
        <v xml:space="preserve"> </v>
      </c>
      <c r="F4" s="347" t="str">
        <f>IF(F7='243'!F18," ","sai")</f>
        <v xml:space="preserve"> </v>
      </c>
    </row>
    <row r="5" spans="1:7" ht="18" customHeight="1">
      <c r="A5" s="350"/>
      <c r="B5" s="350"/>
      <c r="C5" s="350"/>
      <c r="D5" s="350"/>
      <c r="E5" s="350"/>
      <c r="F5" s="350"/>
      <c r="G5" s="299" t="s">
        <v>137</v>
      </c>
    </row>
    <row r="6" spans="1:7" ht="19.5" customHeight="1">
      <c r="B6" s="162">
        <v>2016</v>
      </c>
      <c r="C6" s="163">
        <v>2017</v>
      </c>
      <c r="D6" s="162">
        <v>2018</v>
      </c>
      <c r="E6" s="163">
        <v>2019</v>
      </c>
      <c r="F6" s="162">
        <v>2020</v>
      </c>
      <c r="G6" s="163">
        <v>2021</v>
      </c>
    </row>
    <row r="7" spans="1:7" s="166" customFormat="1" ht="24.75" customHeight="1">
      <c r="A7" s="351" t="s">
        <v>425</v>
      </c>
      <c r="B7" s="352">
        <f t="shared" ref="B7:G7" si="0">+B9+B10+B14</f>
        <v>21720498</v>
      </c>
      <c r="C7" s="352">
        <f t="shared" si="0"/>
        <v>23656317</v>
      </c>
      <c r="D7" s="352">
        <f t="shared" si="0"/>
        <v>26861762</v>
      </c>
      <c r="E7" s="352">
        <f t="shared" si="0"/>
        <v>28821224</v>
      </c>
      <c r="F7" s="352">
        <f t="shared" si="0"/>
        <v>29809939</v>
      </c>
      <c r="G7" s="352">
        <f t="shared" si="0"/>
        <v>33738858</v>
      </c>
    </row>
    <row r="8" spans="1:7" s="166" customFormat="1" ht="29.25" customHeight="1">
      <c r="A8" s="164" t="s">
        <v>149</v>
      </c>
      <c r="B8" s="165"/>
      <c r="C8" s="165"/>
      <c r="D8" s="165"/>
      <c r="E8" s="165"/>
      <c r="F8" s="165"/>
      <c r="G8" s="165"/>
    </row>
    <row r="9" spans="1:7" s="166" customFormat="1" ht="19.899999999999999" customHeight="1">
      <c r="A9" s="167" t="s">
        <v>123</v>
      </c>
      <c r="B9" s="169">
        <v>480765</v>
      </c>
      <c r="C9" s="169">
        <v>485918</v>
      </c>
      <c r="D9" s="169">
        <v>560746</v>
      </c>
      <c r="E9" s="169">
        <v>706127</v>
      </c>
      <c r="F9" s="169">
        <v>729089</v>
      </c>
      <c r="G9" s="169">
        <v>886269</v>
      </c>
    </row>
    <row r="10" spans="1:7" s="166" customFormat="1" ht="19.899999999999999" customHeight="1">
      <c r="A10" s="167" t="s">
        <v>124</v>
      </c>
      <c r="B10" s="168">
        <f t="shared" ref="B10:G10" si="1">SUM(B11:B13)</f>
        <v>21239733</v>
      </c>
      <c r="C10" s="168">
        <f t="shared" si="1"/>
        <v>23170399</v>
      </c>
      <c r="D10" s="168">
        <f t="shared" si="1"/>
        <v>26301016</v>
      </c>
      <c r="E10" s="168">
        <f t="shared" si="1"/>
        <v>28115097</v>
      </c>
      <c r="F10" s="168">
        <f t="shared" si="1"/>
        <v>29080850</v>
      </c>
      <c r="G10" s="168">
        <f t="shared" si="1"/>
        <v>32852589</v>
      </c>
    </row>
    <row r="11" spans="1:7" s="166" customFormat="1" ht="19.899999999999999" customHeight="1">
      <c r="A11" s="170" t="s">
        <v>125</v>
      </c>
      <c r="B11" s="168">
        <v>1108</v>
      </c>
      <c r="C11" s="168">
        <v>2240</v>
      </c>
      <c r="D11" s="168">
        <v>7531</v>
      </c>
      <c r="E11" s="168">
        <v>7203</v>
      </c>
      <c r="F11" s="168">
        <v>7424</v>
      </c>
      <c r="G11" s="168">
        <v>7676</v>
      </c>
    </row>
    <row r="12" spans="1:7" s="166" customFormat="1" ht="19.899999999999999" customHeight="1">
      <c r="A12" s="170" t="s">
        <v>126</v>
      </c>
      <c r="B12" s="168">
        <v>6032548</v>
      </c>
      <c r="C12" s="168">
        <v>7896010</v>
      </c>
      <c r="D12" s="168">
        <v>7849577</v>
      </c>
      <c r="E12" s="168">
        <v>8304534</v>
      </c>
      <c r="F12" s="168">
        <v>8975639</v>
      </c>
      <c r="G12" s="168">
        <v>9983421</v>
      </c>
    </row>
    <row r="13" spans="1:7" s="166" customFormat="1" ht="19.899999999999999" customHeight="1">
      <c r="A13" s="170" t="s">
        <v>127</v>
      </c>
      <c r="B13" s="168">
        <v>15206077</v>
      </c>
      <c r="C13" s="168">
        <v>15272149</v>
      </c>
      <c r="D13" s="168">
        <v>18443908</v>
      </c>
      <c r="E13" s="168">
        <v>19803360</v>
      </c>
      <c r="F13" s="168">
        <v>20097787</v>
      </c>
      <c r="G13" s="168">
        <v>22861492</v>
      </c>
    </row>
    <row r="14" spans="1:7" s="166" customFormat="1" ht="19.899999999999999" customHeight="1">
      <c r="A14" s="167" t="s">
        <v>150</v>
      </c>
      <c r="B14" s="171">
        <v>0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</row>
    <row r="15" spans="1:7" s="166" customFormat="1" ht="19.899999999999999" customHeight="1">
      <c r="A15" s="172" t="s">
        <v>151</v>
      </c>
      <c r="B15" s="173"/>
      <c r="C15" s="173"/>
      <c r="D15" s="173"/>
      <c r="E15" s="173"/>
      <c r="F15" s="173"/>
      <c r="G15" s="173"/>
    </row>
    <row r="16" spans="1:7" s="166" customFormat="1" ht="24" customHeight="1">
      <c r="A16" s="174" t="s">
        <v>152</v>
      </c>
      <c r="B16" s="165" t="str">
        <f t="shared" ref="B16:G16" si="2">IF(B7=SUM(B17:B25),"  ","sai")</f>
        <v xml:space="preserve">  </v>
      </c>
      <c r="C16" s="165" t="str">
        <f t="shared" si="2"/>
        <v xml:space="preserve">  </v>
      </c>
      <c r="D16" s="165" t="str">
        <f t="shared" si="2"/>
        <v xml:space="preserve">  </v>
      </c>
      <c r="E16" s="165" t="str">
        <f t="shared" si="2"/>
        <v xml:space="preserve">  </v>
      </c>
      <c r="F16" s="165" t="str">
        <f t="shared" si="2"/>
        <v xml:space="preserve">  </v>
      </c>
      <c r="G16" s="165" t="str">
        <f t="shared" si="2"/>
        <v xml:space="preserve">  </v>
      </c>
    </row>
    <row r="17" spans="1:7" s="166" customFormat="1" ht="24.75" customHeight="1">
      <c r="A17" s="174" t="s">
        <v>153</v>
      </c>
      <c r="B17" s="168">
        <v>6350923</v>
      </c>
      <c r="C17" s="168">
        <v>6959090</v>
      </c>
      <c r="D17" s="168">
        <v>7820875</v>
      </c>
      <c r="E17" s="168">
        <v>8039097</v>
      </c>
      <c r="F17" s="168">
        <v>9248015</v>
      </c>
      <c r="G17" s="168">
        <v>9892501</v>
      </c>
    </row>
    <row r="18" spans="1:7" s="166" customFormat="1" ht="24.6" customHeight="1">
      <c r="A18" s="174" t="s">
        <v>154</v>
      </c>
      <c r="B18" s="168">
        <v>2015147</v>
      </c>
      <c r="C18" s="168">
        <v>1973912</v>
      </c>
      <c r="D18" s="168">
        <v>2193113</v>
      </c>
      <c r="E18" s="168">
        <v>2257687</v>
      </c>
      <c r="F18" s="168">
        <v>2441184</v>
      </c>
      <c r="G18" s="168">
        <v>2515085</v>
      </c>
    </row>
    <row r="19" spans="1:7" s="166" customFormat="1" ht="35.450000000000003" customHeight="1">
      <c r="A19" s="174" t="s">
        <v>155</v>
      </c>
      <c r="B19" s="168">
        <v>2018091</v>
      </c>
      <c r="C19" s="168">
        <v>2106719</v>
      </c>
      <c r="D19" s="168">
        <v>2918930</v>
      </c>
      <c r="E19" s="168">
        <v>2836061</v>
      </c>
      <c r="F19" s="168">
        <v>2362600</v>
      </c>
      <c r="G19" s="168">
        <v>3195511</v>
      </c>
    </row>
    <row r="20" spans="1:7" s="166" customFormat="1" ht="27.75" customHeight="1">
      <c r="A20" s="174" t="s">
        <v>156</v>
      </c>
      <c r="B20" s="168">
        <v>221873</v>
      </c>
      <c r="C20" s="168">
        <v>285147</v>
      </c>
      <c r="D20" s="168">
        <v>439507</v>
      </c>
      <c r="E20" s="168">
        <v>446008</v>
      </c>
      <c r="F20" s="168">
        <v>545229</v>
      </c>
      <c r="G20" s="168">
        <v>597058</v>
      </c>
    </row>
    <row r="21" spans="1:7" s="166" customFormat="1" ht="32.450000000000003" customHeight="1">
      <c r="A21" s="174" t="s">
        <v>157</v>
      </c>
      <c r="B21" s="168">
        <v>3398404</v>
      </c>
      <c r="C21" s="168">
        <v>3807582</v>
      </c>
      <c r="D21" s="168">
        <v>4143305</v>
      </c>
      <c r="E21" s="168">
        <v>4799634</v>
      </c>
      <c r="F21" s="168">
        <v>4748111</v>
      </c>
      <c r="G21" s="168">
        <v>5726681</v>
      </c>
    </row>
    <row r="22" spans="1:7" s="166" customFormat="1" ht="30.75" customHeight="1">
      <c r="A22" s="174" t="s">
        <v>158</v>
      </c>
      <c r="B22" s="168">
        <f>1910632+1142896</f>
        <v>3053528</v>
      </c>
      <c r="C22" s="168">
        <f>1677675+1360912</f>
        <v>3038587</v>
      </c>
      <c r="D22" s="168">
        <f>1444304+2074002</f>
        <v>3518306</v>
      </c>
      <c r="E22" s="168">
        <f>2307222+1536745</f>
        <v>3843967</v>
      </c>
      <c r="F22" s="168">
        <f>2711603+1727606</f>
        <v>4439209</v>
      </c>
      <c r="G22" s="168">
        <f>2095138+2273279</f>
        <v>4368417</v>
      </c>
    </row>
    <row r="23" spans="1:7" s="166" customFormat="1" ht="32.25" customHeight="1">
      <c r="A23" s="174" t="s">
        <v>159</v>
      </c>
      <c r="B23" s="168">
        <f>1998254+369634</f>
        <v>2367888</v>
      </c>
      <c r="C23" s="168">
        <f>2440549+479604</f>
        <v>2920153</v>
      </c>
      <c r="D23" s="168">
        <f>2736336+577775</f>
        <v>3314111</v>
      </c>
      <c r="E23" s="168">
        <f>3091163+272137</f>
        <v>3363300</v>
      </c>
      <c r="F23" s="168">
        <f>1954037+310838</f>
        <v>2264875</v>
      </c>
      <c r="G23" s="168">
        <f>3175882+729523</f>
        <v>3905405</v>
      </c>
    </row>
    <row r="24" spans="1:7" s="166" customFormat="1" ht="30" customHeight="1">
      <c r="A24" s="174" t="s">
        <v>394</v>
      </c>
      <c r="B24" s="168">
        <v>572974</v>
      </c>
      <c r="C24" s="168">
        <v>624672</v>
      </c>
      <c r="D24" s="168">
        <v>691197</v>
      </c>
      <c r="E24" s="168">
        <v>792490</v>
      </c>
      <c r="F24" s="168">
        <v>1013870</v>
      </c>
      <c r="G24" s="168">
        <v>941967</v>
      </c>
    </row>
    <row r="25" spans="1:7" s="166" customFormat="1" ht="24.6" customHeight="1">
      <c r="A25" s="175" t="s">
        <v>160</v>
      </c>
      <c r="B25" s="168">
        <f>992596+729074</f>
        <v>1721670</v>
      </c>
      <c r="C25" s="168">
        <f>1098853+841602</f>
        <v>1940455</v>
      </c>
      <c r="D25" s="168">
        <f>893853+928565</f>
        <v>1822418</v>
      </c>
      <c r="E25" s="168">
        <f>832380+1610600</f>
        <v>2442980</v>
      </c>
      <c r="F25" s="168">
        <f>913426+1833420</f>
        <v>2746846</v>
      </c>
      <c r="G25" s="168">
        <f>1168316+1427917</f>
        <v>2596233</v>
      </c>
    </row>
    <row r="26" spans="1:7" s="166" customFormat="1" ht="18.75" customHeight="1">
      <c r="A26" s="176"/>
      <c r="B26" s="177"/>
      <c r="C26" s="177"/>
      <c r="D26" s="177"/>
      <c r="E26" s="177"/>
      <c r="F26" s="177"/>
      <c r="G26" s="177"/>
    </row>
    <row r="27" spans="1:7" ht="18.75" customHeight="1">
      <c r="A27" s="353"/>
      <c r="B27" s="354"/>
      <c r="C27" s="354"/>
      <c r="D27" s="354"/>
      <c r="E27" s="354"/>
      <c r="F27" s="354"/>
      <c r="G27" s="354"/>
    </row>
    <row r="28" spans="1:7" ht="18.75" customHeight="1">
      <c r="A28" s="353"/>
      <c r="B28" s="354"/>
      <c r="C28" s="354"/>
      <c r="D28" s="354"/>
      <c r="E28" s="354"/>
      <c r="F28" s="354"/>
      <c r="G28" s="354"/>
    </row>
    <row r="29" spans="1:7" ht="18" hidden="1" customHeight="1">
      <c r="C29" s="178" t="s">
        <v>161</v>
      </c>
      <c r="D29" s="178"/>
      <c r="E29" s="178"/>
      <c r="F29" s="178"/>
      <c r="G29" s="178"/>
    </row>
    <row r="30" spans="1:7" ht="18" customHeight="1">
      <c r="C30" s="178"/>
      <c r="D30" s="178"/>
      <c r="E30" s="178"/>
      <c r="F30" s="178"/>
      <c r="G30" s="178"/>
    </row>
    <row r="31" spans="1:7" ht="34.5" customHeight="1">
      <c r="A31" s="436" t="s">
        <v>428</v>
      </c>
      <c r="B31" s="436"/>
      <c r="C31" s="436"/>
      <c r="D31" s="436"/>
      <c r="E31" s="436"/>
      <c r="F31" s="436"/>
      <c r="G31" s="436"/>
    </row>
    <row r="32" spans="1:7" ht="20.100000000000001" customHeight="1">
      <c r="A32" s="348" t="s">
        <v>242</v>
      </c>
    </row>
    <row r="33" spans="1:20" ht="20.100000000000001" customHeight="1">
      <c r="A33" s="355" t="s">
        <v>241</v>
      </c>
      <c r="B33" s="356"/>
      <c r="C33" s="356"/>
      <c r="D33" s="356"/>
      <c r="E33" s="356"/>
      <c r="F33" s="356"/>
      <c r="G33" s="356"/>
    </row>
    <row r="34" spans="1:20" ht="18" customHeight="1">
      <c r="A34" s="350"/>
      <c r="B34" s="350"/>
      <c r="C34" s="350"/>
      <c r="D34" s="350"/>
      <c r="E34" s="350"/>
      <c r="F34" s="350"/>
      <c r="G34" s="350"/>
    </row>
    <row r="35" spans="1:20" ht="19.5" customHeight="1">
      <c r="B35" s="162">
        <v>2016</v>
      </c>
      <c r="C35" s="163">
        <v>2017</v>
      </c>
      <c r="D35" s="162">
        <v>2018</v>
      </c>
      <c r="E35" s="163">
        <v>2019</v>
      </c>
      <c r="F35" s="162">
        <v>2020</v>
      </c>
      <c r="G35" s="163">
        <v>2021</v>
      </c>
      <c r="T35" s="347">
        <f>5907.5+8652.2</f>
        <v>14559.7</v>
      </c>
    </row>
    <row r="36" spans="1:20" ht="19.5" customHeight="1">
      <c r="B36" s="437" t="s">
        <v>473</v>
      </c>
      <c r="C36" s="437"/>
      <c r="D36" s="437"/>
      <c r="E36" s="437"/>
      <c r="F36" s="437"/>
      <c r="G36" s="437"/>
    </row>
    <row r="37" spans="1:20" ht="18" customHeight="1">
      <c r="A37" s="357" t="s">
        <v>426</v>
      </c>
      <c r="B37" s="358">
        <f t="shared" ref="B37:G37" si="3">SUM(B39:B40)+B44</f>
        <v>100</v>
      </c>
      <c r="C37" s="358">
        <f t="shared" si="3"/>
        <v>100</v>
      </c>
      <c r="D37" s="358">
        <f t="shared" si="3"/>
        <v>100</v>
      </c>
      <c r="E37" s="358">
        <f t="shared" si="3"/>
        <v>100</v>
      </c>
      <c r="F37" s="358">
        <f t="shared" si="3"/>
        <v>100</v>
      </c>
      <c r="G37" s="358">
        <f t="shared" si="3"/>
        <v>100</v>
      </c>
    </row>
    <row r="38" spans="1:20" ht="32.25" customHeight="1">
      <c r="A38" s="179" t="s">
        <v>162</v>
      </c>
    </row>
    <row r="39" spans="1:20" ht="18" customHeight="1">
      <c r="A39" s="359" t="s">
        <v>1</v>
      </c>
      <c r="B39" s="360">
        <f t="shared" ref="B39:G39" si="4">ROUND((B9/B$7)*100,1)</f>
        <v>2.2000000000000002</v>
      </c>
      <c r="C39" s="360">
        <f t="shared" si="4"/>
        <v>2.1</v>
      </c>
      <c r="D39" s="360">
        <f t="shared" si="4"/>
        <v>2.1</v>
      </c>
      <c r="E39" s="360">
        <f t="shared" si="4"/>
        <v>2.5</v>
      </c>
      <c r="F39" s="360">
        <f t="shared" si="4"/>
        <v>2.4</v>
      </c>
      <c r="G39" s="360">
        <f t="shared" si="4"/>
        <v>2.6</v>
      </c>
    </row>
    <row r="40" spans="1:20" ht="18" customHeight="1">
      <c r="A40" s="359" t="s">
        <v>2</v>
      </c>
      <c r="B40" s="360">
        <f t="shared" ref="B40:G40" si="5">B41+B42+B43</f>
        <v>97.8</v>
      </c>
      <c r="C40" s="360">
        <f t="shared" si="5"/>
        <v>97.9</v>
      </c>
      <c r="D40" s="360">
        <f t="shared" si="5"/>
        <v>97.9</v>
      </c>
      <c r="E40" s="360">
        <f t="shared" si="5"/>
        <v>97.5</v>
      </c>
      <c r="F40" s="360">
        <f t="shared" si="5"/>
        <v>97.6</v>
      </c>
      <c r="G40" s="360">
        <f t="shared" si="5"/>
        <v>97.4</v>
      </c>
    </row>
    <row r="41" spans="1:20" ht="18" customHeight="1">
      <c r="A41" s="361" t="s">
        <v>3</v>
      </c>
      <c r="B41" s="360">
        <f t="shared" ref="B41:G41" si="6">ROUND((B11/B$7)*100,1)</f>
        <v>0</v>
      </c>
      <c r="C41" s="360">
        <f t="shared" si="6"/>
        <v>0</v>
      </c>
      <c r="D41" s="360">
        <f t="shared" si="6"/>
        <v>0</v>
      </c>
      <c r="E41" s="360">
        <f t="shared" si="6"/>
        <v>0</v>
      </c>
      <c r="F41" s="360">
        <f t="shared" si="6"/>
        <v>0</v>
      </c>
      <c r="G41" s="360">
        <f t="shared" si="6"/>
        <v>0</v>
      </c>
    </row>
    <row r="42" spans="1:20" ht="18" customHeight="1">
      <c r="A42" s="361" t="s">
        <v>4</v>
      </c>
      <c r="B42" s="360">
        <f t="shared" ref="B42:G42" si="7">ROUND((B12/B$7)*100,1)</f>
        <v>27.8</v>
      </c>
      <c r="C42" s="360">
        <f t="shared" si="7"/>
        <v>33.4</v>
      </c>
      <c r="D42" s="360">
        <f t="shared" si="7"/>
        <v>29.2</v>
      </c>
      <c r="E42" s="360">
        <f t="shared" si="7"/>
        <v>28.8</v>
      </c>
      <c r="F42" s="360">
        <f t="shared" si="7"/>
        <v>30.1</v>
      </c>
      <c r="G42" s="360">
        <f t="shared" si="7"/>
        <v>29.6</v>
      </c>
    </row>
    <row r="43" spans="1:20" ht="21" customHeight="1">
      <c r="A43" s="361" t="s">
        <v>5</v>
      </c>
      <c r="B43" s="360">
        <f t="shared" ref="B43:B44" si="8">ROUND((B13/B$7)*100,1)</f>
        <v>70</v>
      </c>
      <c r="C43" s="360">
        <f>ROUND((C13/C$7)*100,1)-0.1</f>
        <v>64.5</v>
      </c>
      <c r="D43" s="360">
        <f>ROUND((D13/D$7)*100,1)</f>
        <v>68.7</v>
      </c>
      <c r="E43" s="360">
        <f>ROUND((E13/E$7)*100,1)</f>
        <v>68.7</v>
      </c>
      <c r="F43" s="360">
        <f>ROUND((F13/F$7)*100,1)+0.1</f>
        <v>67.5</v>
      </c>
      <c r="G43" s="360">
        <f>ROUND((G13/G$7)*100,1)</f>
        <v>67.8</v>
      </c>
    </row>
    <row r="44" spans="1:20" ht="18" customHeight="1">
      <c r="A44" s="359" t="s">
        <v>150</v>
      </c>
      <c r="B44" s="360">
        <f t="shared" si="8"/>
        <v>0</v>
      </c>
      <c r="C44" s="360">
        <f>ROUND((C14/C$7)*100,1)</f>
        <v>0</v>
      </c>
      <c r="D44" s="360">
        <f>ROUND((D14/D$7)*100,1)</f>
        <v>0</v>
      </c>
      <c r="E44" s="360">
        <f>ROUND((E14/E$7)*100,1)</f>
        <v>0</v>
      </c>
      <c r="F44" s="360">
        <f>ROUND((F14/F$7)*100,1)</f>
        <v>0</v>
      </c>
      <c r="G44" s="360">
        <f>ROUND((G14/G$7)*100,1)</f>
        <v>0</v>
      </c>
    </row>
    <row r="45" spans="1:20" ht="18" customHeight="1">
      <c r="A45" s="180" t="s">
        <v>151</v>
      </c>
      <c r="B45" s="360"/>
      <c r="C45" s="360"/>
      <c r="D45" s="360"/>
      <c r="E45" s="360"/>
      <c r="F45" s="360"/>
      <c r="G45" s="360"/>
    </row>
    <row r="46" spans="1:20" ht="26.25" customHeight="1">
      <c r="A46" s="174" t="s">
        <v>163</v>
      </c>
      <c r="B46" s="360" t="str">
        <f>IF(SUM(B47:B55)=B37," ","sai")</f>
        <v xml:space="preserve"> </v>
      </c>
      <c r="C46" s="360" t="str">
        <f>IF(SUM(C47:C55)=C37," ","sai")</f>
        <v xml:space="preserve"> </v>
      </c>
      <c r="D46" s="360" t="str">
        <f>IF(SUM(D47:D55)=D37," ","sai")</f>
        <v xml:space="preserve"> </v>
      </c>
      <c r="E46" s="360" t="str">
        <f>IF(SUM(E47:E55)=E37," ","sai")</f>
        <v xml:space="preserve"> </v>
      </c>
      <c r="F46" s="360" t="str">
        <f t="shared" ref="F46:G46" si="9">IF(SUM(F47:F55)=F37," ","sai")</f>
        <v xml:space="preserve"> </v>
      </c>
      <c r="G46" s="360" t="str">
        <f t="shared" si="9"/>
        <v xml:space="preserve"> </v>
      </c>
    </row>
    <row r="47" spans="1:20" ht="26.25" customHeight="1">
      <c r="A47" s="174" t="s">
        <v>164</v>
      </c>
      <c r="B47" s="360">
        <f>ROUND((B17/B$7)*100,1)+0.1</f>
        <v>29.3</v>
      </c>
      <c r="C47" s="360">
        <f>ROUND((C17/C$7)*100,1)+0.2</f>
        <v>29.599999999999998</v>
      </c>
      <c r="D47" s="360">
        <f>ROUND((D17/D$7)*100,1)</f>
        <v>29.1</v>
      </c>
      <c r="E47" s="360">
        <f>ROUND((E17/E$7)*100,1)+0.1</f>
        <v>28</v>
      </c>
      <c r="F47" s="360">
        <f>ROUND((F17/F$7)*100,1)+0.1</f>
        <v>31.1</v>
      </c>
      <c r="G47" s="360">
        <f>ROUND((G17/G$7)*100,1)-0.1</f>
        <v>29.2</v>
      </c>
    </row>
    <row r="48" spans="1:20" ht="21.75" customHeight="1">
      <c r="A48" s="362" t="s">
        <v>165</v>
      </c>
      <c r="B48" s="360">
        <f t="shared" ref="B48:C55" si="10">ROUND((B18/B$7)*100,1)</f>
        <v>9.3000000000000007</v>
      </c>
      <c r="C48" s="360">
        <f t="shared" si="10"/>
        <v>8.3000000000000007</v>
      </c>
      <c r="D48" s="360">
        <f t="shared" ref="D48:E48" si="11">ROUND((D18/D$7)*100,1)</f>
        <v>8.1999999999999993</v>
      </c>
      <c r="E48" s="360">
        <f t="shared" si="11"/>
        <v>7.8</v>
      </c>
      <c r="F48" s="360">
        <f t="shared" ref="F48:G48" si="12">ROUND((F18/F$7)*100,1)</f>
        <v>8.1999999999999993</v>
      </c>
      <c r="G48" s="360">
        <f t="shared" si="12"/>
        <v>7.5</v>
      </c>
    </row>
    <row r="49" spans="1:7" ht="31.5" customHeight="1">
      <c r="A49" s="174" t="s">
        <v>155</v>
      </c>
      <c r="B49" s="360">
        <f t="shared" si="10"/>
        <v>9.3000000000000007</v>
      </c>
      <c r="C49" s="360">
        <f t="shared" si="10"/>
        <v>8.9</v>
      </c>
      <c r="D49" s="360">
        <f t="shared" ref="D49:E49" si="13">ROUND((D19/D$7)*100,1)</f>
        <v>10.9</v>
      </c>
      <c r="E49" s="360">
        <f t="shared" si="13"/>
        <v>9.8000000000000007</v>
      </c>
      <c r="F49" s="360">
        <f t="shared" ref="F49:G49" si="14">ROUND((F19/F$7)*100,1)</f>
        <v>7.9</v>
      </c>
      <c r="G49" s="360">
        <f t="shared" si="14"/>
        <v>9.5</v>
      </c>
    </row>
    <row r="50" spans="1:7" ht="27.75" customHeight="1">
      <c r="A50" s="174" t="s">
        <v>156</v>
      </c>
      <c r="B50" s="360">
        <f t="shared" si="10"/>
        <v>1</v>
      </c>
      <c r="C50" s="360">
        <f t="shared" si="10"/>
        <v>1.2</v>
      </c>
      <c r="D50" s="360">
        <f t="shared" ref="D50:E50" si="15">ROUND((D20/D$7)*100,1)</f>
        <v>1.6</v>
      </c>
      <c r="E50" s="360">
        <f t="shared" si="15"/>
        <v>1.5</v>
      </c>
      <c r="F50" s="360">
        <f t="shared" ref="F50:G50" si="16">ROUND((F20/F$7)*100,1)</f>
        <v>1.8</v>
      </c>
      <c r="G50" s="360">
        <f t="shared" si="16"/>
        <v>1.8</v>
      </c>
    </row>
    <row r="51" spans="1:7" ht="28.5" customHeight="1">
      <c r="A51" s="174" t="s">
        <v>157</v>
      </c>
      <c r="B51" s="360">
        <f t="shared" si="10"/>
        <v>15.6</v>
      </c>
      <c r="C51" s="360">
        <f t="shared" si="10"/>
        <v>16.100000000000001</v>
      </c>
      <c r="D51" s="360">
        <f t="shared" ref="D51:E51" si="17">ROUND((D21/D$7)*100,1)</f>
        <v>15.4</v>
      </c>
      <c r="E51" s="360">
        <f t="shared" si="17"/>
        <v>16.7</v>
      </c>
      <c r="F51" s="360">
        <f t="shared" ref="F51:G51" si="18">ROUND((F21/F$7)*100,1)</f>
        <v>15.9</v>
      </c>
      <c r="G51" s="360">
        <f t="shared" si="18"/>
        <v>17</v>
      </c>
    </row>
    <row r="52" spans="1:7" ht="30" customHeight="1">
      <c r="A52" s="174" t="s">
        <v>158</v>
      </c>
      <c r="B52" s="360">
        <f t="shared" si="10"/>
        <v>14.1</v>
      </c>
      <c r="C52" s="360">
        <f t="shared" si="10"/>
        <v>12.8</v>
      </c>
      <c r="D52" s="360">
        <f t="shared" ref="D52:E52" si="19">ROUND((D22/D$7)*100,1)</f>
        <v>13.1</v>
      </c>
      <c r="E52" s="360">
        <f t="shared" si="19"/>
        <v>13.3</v>
      </c>
      <c r="F52" s="360">
        <f t="shared" ref="F52:G52" si="20">ROUND((F22/F$7)*100,1)</f>
        <v>14.9</v>
      </c>
      <c r="G52" s="360">
        <f t="shared" si="20"/>
        <v>12.9</v>
      </c>
    </row>
    <row r="53" spans="1:7" ht="30.75" customHeight="1">
      <c r="A53" s="174" t="s">
        <v>159</v>
      </c>
      <c r="B53" s="360">
        <f t="shared" si="10"/>
        <v>10.9</v>
      </c>
      <c r="C53" s="360">
        <f t="shared" si="10"/>
        <v>12.3</v>
      </c>
      <c r="D53" s="360">
        <f t="shared" ref="D53:E53" si="21">ROUND((D23/D$7)*100,1)</f>
        <v>12.3</v>
      </c>
      <c r="E53" s="360">
        <f t="shared" si="21"/>
        <v>11.7</v>
      </c>
      <c r="F53" s="360">
        <f t="shared" ref="F53:G53" si="22">ROUND((F23/F$7)*100,1)</f>
        <v>7.6</v>
      </c>
      <c r="G53" s="360">
        <f t="shared" si="22"/>
        <v>11.6</v>
      </c>
    </row>
    <row r="54" spans="1:7" ht="31.5" customHeight="1">
      <c r="A54" s="174" t="s">
        <v>394</v>
      </c>
      <c r="B54" s="360">
        <f t="shared" si="10"/>
        <v>2.6</v>
      </c>
      <c r="C54" s="360">
        <f t="shared" si="10"/>
        <v>2.6</v>
      </c>
      <c r="D54" s="360">
        <f t="shared" ref="D54:E54" si="23">ROUND((D24/D$7)*100,1)</f>
        <v>2.6</v>
      </c>
      <c r="E54" s="360">
        <f t="shared" si="23"/>
        <v>2.7</v>
      </c>
      <c r="F54" s="360">
        <f t="shared" ref="F54:G54" si="24">ROUND((F24/F$7)*100,1)</f>
        <v>3.4</v>
      </c>
      <c r="G54" s="360">
        <f t="shared" si="24"/>
        <v>2.8</v>
      </c>
    </row>
    <row r="55" spans="1:7" ht="25.5" customHeight="1">
      <c r="A55" s="175" t="s">
        <v>160</v>
      </c>
      <c r="B55" s="360">
        <f t="shared" si="10"/>
        <v>7.9</v>
      </c>
      <c r="C55" s="360">
        <f t="shared" si="10"/>
        <v>8.1999999999999993</v>
      </c>
      <c r="D55" s="360">
        <f t="shared" ref="D55:E55" si="25">ROUND((D25/D$7)*100,1)</f>
        <v>6.8</v>
      </c>
      <c r="E55" s="360">
        <f t="shared" si="25"/>
        <v>8.5</v>
      </c>
      <c r="F55" s="360">
        <f t="shared" ref="F55:G55" si="26">ROUND((F25/F$7)*100,1)</f>
        <v>9.1999999999999993</v>
      </c>
      <c r="G55" s="360">
        <f t="shared" si="26"/>
        <v>7.7</v>
      </c>
    </row>
    <row r="56" spans="1:7" ht="12" customHeight="1">
      <c r="A56" s="363"/>
      <c r="B56" s="364"/>
      <c r="C56" s="364"/>
      <c r="D56" s="364"/>
      <c r="E56" s="364"/>
      <c r="F56" s="364"/>
      <c r="G56" s="364"/>
    </row>
    <row r="57" spans="1:7" ht="18.75" customHeight="1">
      <c r="A57" s="353"/>
      <c r="B57" s="354"/>
      <c r="C57" s="354"/>
      <c r="D57" s="354"/>
      <c r="E57" s="354"/>
      <c r="F57" s="354"/>
      <c r="G57" s="354"/>
    </row>
    <row r="58" spans="1:7" ht="18.75" customHeight="1">
      <c r="A58" s="353"/>
      <c r="B58" s="354"/>
      <c r="C58" s="354"/>
      <c r="D58" s="354"/>
      <c r="E58" s="354"/>
      <c r="F58" s="354"/>
      <c r="G58" s="354"/>
    </row>
    <row r="59" spans="1:7" ht="18" hidden="1" customHeight="1">
      <c r="A59" s="160" t="s">
        <v>166</v>
      </c>
      <c r="B59" s="354"/>
      <c r="C59" s="354"/>
      <c r="D59" s="354"/>
      <c r="E59" s="354"/>
      <c r="F59" s="354"/>
      <c r="G59" s="354"/>
    </row>
    <row r="60" spans="1:7" ht="18" customHeight="1"/>
    <row r="61" spans="1:7" ht="18" customHeight="1"/>
    <row r="62" spans="1:7" ht="18" customHeight="1"/>
    <row r="63" spans="1:7" ht="18" customHeight="1"/>
    <row r="64" spans="1: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</sheetData>
  <mergeCells count="3">
    <mergeCell ref="A1:G1"/>
    <mergeCell ref="A31:G31"/>
    <mergeCell ref="B36:G36"/>
  </mergeCells>
  <printOptions horizontalCentered="1"/>
  <pageMargins left="0.98425196850393704" right="0.98425196850393704" top="0.98425196850393704" bottom="0.98425196850393704" header="0.70866141732283472" footer="0.70866141732283472"/>
  <pageSetup orientation="portrait" r:id="rId1"/>
  <headerFooter alignWithMargins="0">
    <oddFooter xml:space="preserve">&amp;L       &amp;12Thương mại và Du lịch - Trade and Tourism&amp;R&amp;12&amp;P+378      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31" workbookViewId="0">
      <selection activeCell="B7" sqref="B7:G7"/>
    </sheetView>
  </sheetViews>
  <sheetFormatPr defaultRowHeight="12.75"/>
  <cols>
    <col min="1" max="1" width="37.5703125" customWidth="1"/>
    <col min="2" max="2" width="9" customWidth="1"/>
    <col min="3" max="3" width="9.140625" customWidth="1"/>
  </cols>
  <sheetData>
    <row r="1" spans="1:7" ht="20.100000000000001" customHeight="1">
      <c r="A1" s="73" t="s">
        <v>412</v>
      </c>
      <c r="B1" s="75"/>
      <c r="C1" s="75"/>
      <c r="D1" s="75"/>
      <c r="E1" s="75"/>
      <c r="F1" s="75"/>
      <c r="G1" s="75"/>
    </row>
    <row r="2" spans="1:7" ht="20.100000000000001" customHeight="1">
      <c r="A2" s="73" t="s">
        <v>422</v>
      </c>
      <c r="B2" s="75"/>
      <c r="C2" s="75"/>
      <c r="D2" s="75"/>
      <c r="E2" s="75"/>
      <c r="F2" s="75"/>
      <c r="G2" s="75"/>
    </row>
    <row r="3" spans="1:7" ht="17.25" customHeight="1">
      <c r="A3" s="68" t="s">
        <v>69</v>
      </c>
      <c r="B3" s="75"/>
      <c r="C3" s="75"/>
      <c r="D3" s="75"/>
      <c r="E3" s="75"/>
      <c r="F3" s="75"/>
      <c r="G3" s="75"/>
    </row>
    <row r="4" spans="1:7" ht="20.100000000000001" customHeight="1">
      <c r="A4" s="76" t="s">
        <v>82</v>
      </c>
      <c r="B4" s="75"/>
      <c r="C4" s="75"/>
      <c r="D4" s="75"/>
      <c r="E4" s="75"/>
      <c r="F4" s="75"/>
      <c r="G4" s="75"/>
    </row>
    <row r="5" spans="1:7" ht="20.100000000000001" customHeight="1">
      <c r="A5" s="42"/>
      <c r="B5" s="61" t="str">
        <f>IF(B8='243'!B19," ","sai")</f>
        <v xml:space="preserve"> </v>
      </c>
      <c r="C5" s="61" t="str">
        <f>IF(C8='243'!C19," ","sai")</f>
        <v xml:space="preserve"> </v>
      </c>
      <c r="D5" s="61" t="str">
        <f>IF(D8='243'!D19," ","sai")</f>
        <v xml:space="preserve"> </v>
      </c>
      <c r="E5" s="61" t="str">
        <f>IF(E8='243'!E19," ","sai")</f>
        <v xml:space="preserve"> </v>
      </c>
      <c r="F5" s="61" t="str">
        <f>IF(F8='243'!F19," ","sai")</f>
        <v xml:space="preserve"> </v>
      </c>
      <c r="G5" s="61" t="str">
        <f>IF(G8='243'!G19," ","sai")</f>
        <v xml:space="preserve"> </v>
      </c>
    </row>
    <row r="6" spans="1:7" ht="21" customHeight="1">
      <c r="A6" s="74"/>
      <c r="B6" s="60">
        <v>2016</v>
      </c>
      <c r="C6" s="60">
        <v>2017</v>
      </c>
      <c r="D6" s="60">
        <v>2018</v>
      </c>
      <c r="E6" s="60">
        <v>2019</v>
      </c>
      <c r="F6" s="60">
        <v>2020</v>
      </c>
      <c r="G6" s="60">
        <v>2021</v>
      </c>
    </row>
    <row r="7" spans="1:7" ht="18" customHeight="1">
      <c r="A7" s="74"/>
      <c r="B7" s="426" t="s">
        <v>471</v>
      </c>
      <c r="C7" s="426"/>
      <c r="D7" s="426"/>
      <c r="E7" s="426"/>
      <c r="F7" s="426"/>
      <c r="G7" s="426"/>
    </row>
    <row r="8" spans="1:7" ht="17.100000000000001" customHeight="1">
      <c r="A8" s="141" t="s">
        <v>122</v>
      </c>
      <c r="B8" s="134">
        <f t="shared" ref="B8:G8" si="0">+B11+B12+B16</f>
        <v>3397527</v>
      </c>
      <c r="C8" s="134">
        <f t="shared" si="0"/>
        <v>3776553</v>
      </c>
      <c r="D8" s="134">
        <f t="shared" si="0"/>
        <v>3946843</v>
      </c>
      <c r="E8" s="134">
        <f t="shared" si="0"/>
        <v>4344318</v>
      </c>
      <c r="F8" s="134">
        <f t="shared" si="0"/>
        <v>3918575</v>
      </c>
      <c r="G8" s="134">
        <f t="shared" si="0"/>
        <v>4705973</v>
      </c>
    </row>
    <row r="9" spans="1:7" ht="17.100000000000001" customHeight="1">
      <c r="A9" s="141" t="s">
        <v>423</v>
      </c>
      <c r="B9" s="135"/>
      <c r="C9" s="135"/>
      <c r="D9" s="135"/>
      <c r="E9" s="135"/>
      <c r="F9" s="135"/>
      <c r="G9" s="135"/>
    </row>
    <row r="10" spans="1:7" ht="17.100000000000001" customHeight="1">
      <c r="A10" s="142" t="s">
        <v>81</v>
      </c>
      <c r="B10" s="135"/>
      <c r="C10" s="135"/>
      <c r="D10" s="135"/>
      <c r="E10" s="135"/>
      <c r="F10" s="135"/>
      <c r="G10" s="135"/>
    </row>
    <row r="11" spans="1:7" ht="17.100000000000001" customHeight="1">
      <c r="A11" s="143" t="s">
        <v>123</v>
      </c>
      <c r="B11" s="135">
        <v>2026</v>
      </c>
      <c r="C11" s="135">
        <v>2088</v>
      </c>
      <c r="D11" s="135">
        <v>2221</v>
      </c>
      <c r="E11" s="135">
        <v>2116</v>
      </c>
      <c r="F11" s="135">
        <v>1050</v>
      </c>
      <c r="G11" s="135">
        <v>397</v>
      </c>
    </row>
    <row r="12" spans="1:7" ht="17.100000000000001" customHeight="1">
      <c r="A12" s="143" t="s">
        <v>124</v>
      </c>
      <c r="B12" s="135">
        <f t="shared" ref="B12:G12" si="1">SUM(B13:B15)</f>
        <v>3395501</v>
      </c>
      <c r="C12" s="135">
        <f t="shared" si="1"/>
        <v>3774465</v>
      </c>
      <c r="D12" s="135">
        <f t="shared" si="1"/>
        <v>3944622</v>
      </c>
      <c r="E12" s="135">
        <f t="shared" si="1"/>
        <v>4342202</v>
      </c>
      <c r="F12" s="135">
        <f t="shared" si="1"/>
        <v>3917525</v>
      </c>
      <c r="G12" s="135">
        <f t="shared" si="1"/>
        <v>4705576</v>
      </c>
    </row>
    <row r="13" spans="1:7" ht="17.100000000000001" customHeight="1">
      <c r="A13" s="144" t="s">
        <v>125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</row>
    <row r="14" spans="1:7" ht="17.100000000000001" customHeight="1">
      <c r="A14" s="144" t="s">
        <v>126</v>
      </c>
      <c r="B14" s="137">
        <f>126766+254811</f>
        <v>381577</v>
      </c>
      <c r="C14" s="137">
        <f>147229+322362</f>
        <v>469591</v>
      </c>
      <c r="D14" s="137">
        <f>152042+320889</f>
        <v>472931</v>
      </c>
      <c r="E14" s="137">
        <f>215194+354045</f>
        <v>569239</v>
      </c>
      <c r="F14" s="137">
        <f>167261+291168</f>
        <v>458429</v>
      </c>
      <c r="G14" s="137">
        <f>179097+355508</f>
        <v>534605</v>
      </c>
    </row>
    <row r="15" spans="1:7" ht="17.100000000000001" customHeight="1">
      <c r="A15" s="144" t="s">
        <v>127</v>
      </c>
      <c r="B15" s="137">
        <f>123712+2890212</f>
        <v>3013924</v>
      </c>
      <c r="C15" s="137">
        <f>137030+3167844</f>
        <v>3304874</v>
      </c>
      <c r="D15" s="137">
        <f>149520+3322171</f>
        <v>3471691</v>
      </c>
      <c r="E15" s="137">
        <f>161643+3611319+1</f>
        <v>3772963</v>
      </c>
      <c r="F15" s="137">
        <f>125119+3333977</f>
        <v>3459096</v>
      </c>
      <c r="G15" s="137">
        <f>135139+4035832</f>
        <v>4170971</v>
      </c>
    </row>
    <row r="16" spans="1:7" ht="17.100000000000001" customHeight="1">
      <c r="A16" s="143" t="s">
        <v>6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</row>
    <row r="17" spans="1:7" ht="17.100000000000001" customHeight="1">
      <c r="A17" s="145" t="s">
        <v>7</v>
      </c>
      <c r="B17" s="135"/>
      <c r="C17" s="135"/>
      <c r="D17" s="135"/>
      <c r="E17" s="135"/>
      <c r="F17" s="135"/>
      <c r="G17" s="135"/>
    </row>
    <row r="18" spans="1:7" ht="17.100000000000001" customHeight="1">
      <c r="A18" s="141" t="s">
        <v>76</v>
      </c>
      <c r="B18" s="135" t="str">
        <f t="shared" ref="B18:E18" si="2">IF(B20+B21=B8," ","sai")</f>
        <v xml:space="preserve"> </v>
      </c>
      <c r="C18" s="135" t="str">
        <f t="shared" si="2"/>
        <v xml:space="preserve"> </v>
      </c>
      <c r="D18" s="135" t="str">
        <f t="shared" si="2"/>
        <v xml:space="preserve"> </v>
      </c>
      <c r="E18" s="135" t="str">
        <f t="shared" si="2"/>
        <v xml:space="preserve"> </v>
      </c>
      <c r="F18" s="135"/>
      <c r="G18" s="135"/>
    </row>
    <row r="19" spans="1:7" ht="17.100000000000001" customHeight="1">
      <c r="A19" s="142" t="s">
        <v>75</v>
      </c>
      <c r="B19" s="135" t="str">
        <f t="shared" ref="B19:G19" si="3">IF(B8=B20+B21," ","sai")</f>
        <v xml:space="preserve"> </v>
      </c>
      <c r="C19" s="135" t="str">
        <f t="shared" si="3"/>
        <v xml:space="preserve"> </v>
      </c>
      <c r="D19" s="135" t="str">
        <f t="shared" si="3"/>
        <v xml:space="preserve"> </v>
      </c>
      <c r="E19" s="135" t="str">
        <f t="shared" si="3"/>
        <v xml:space="preserve"> </v>
      </c>
      <c r="F19" s="135" t="str">
        <f t="shared" si="3"/>
        <v xml:space="preserve"> </v>
      </c>
      <c r="G19" s="135" t="str">
        <f t="shared" si="3"/>
        <v xml:space="preserve"> </v>
      </c>
    </row>
    <row r="20" spans="1:7" s="52" customFormat="1" ht="17.100000000000001" customHeight="1">
      <c r="A20" s="146" t="s">
        <v>128</v>
      </c>
      <c r="B20" s="135">
        <f>'253'!B8</f>
        <v>252504</v>
      </c>
      <c r="C20" s="135">
        <f>'253'!C8</f>
        <v>286347</v>
      </c>
      <c r="D20" s="135">
        <f>'253'!D8</f>
        <v>303783</v>
      </c>
      <c r="E20" s="135">
        <v>378953</v>
      </c>
      <c r="F20" s="135">
        <v>293430</v>
      </c>
      <c r="G20" s="135">
        <v>314633</v>
      </c>
    </row>
    <row r="21" spans="1:7" s="52" customFormat="1" ht="17.100000000000001" customHeight="1">
      <c r="A21" s="146" t="s">
        <v>129</v>
      </c>
      <c r="B21" s="135">
        <v>3145023</v>
      </c>
      <c r="C21" s="135">
        <v>3490206</v>
      </c>
      <c r="D21" s="135">
        <v>3643060</v>
      </c>
      <c r="E21" s="135">
        <f>3965364+1</f>
        <v>3965365</v>
      </c>
      <c r="F21" s="135">
        <v>3625145</v>
      </c>
      <c r="G21" s="135">
        <v>4391340</v>
      </c>
    </row>
    <row r="22" spans="1:7" ht="17.100000000000001" customHeight="1">
      <c r="A22" s="146"/>
      <c r="B22" s="427" t="s">
        <v>472</v>
      </c>
      <c r="C22" s="427"/>
      <c r="D22" s="427"/>
      <c r="E22" s="427"/>
      <c r="F22" s="427"/>
      <c r="G22" s="427"/>
    </row>
    <row r="23" spans="1:7" ht="17.100000000000001" customHeight="1">
      <c r="A23" s="141" t="s">
        <v>122</v>
      </c>
      <c r="B23" s="138">
        <f t="shared" ref="B23:C23" si="4">+B26+B27+B31</f>
        <v>100</v>
      </c>
      <c r="C23" s="138">
        <f t="shared" si="4"/>
        <v>100</v>
      </c>
      <c r="D23" s="138">
        <f t="shared" ref="D23:E23" si="5">+D26+D27+D31</f>
        <v>100</v>
      </c>
      <c r="E23" s="138">
        <f t="shared" si="5"/>
        <v>99.999999999999986</v>
      </c>
      <c r="F23" s="138">
        <f t="shared" ref="F23:G23" si="6">+F26+F27+F31</f>
        <v>100</v>
      </c>
      <c r="G23" s="138">
        <f t="shared" si="6"/>
        <v>100</v>
      </c>
    </row>
    <row r="24" spans="1:7" ht="17.100000000000001" customHeight="1">
      <c r="A24" s="141" t="s">
        <v>423</v>
      </c>
      <c r="B24" s="139"/>
      <c r="C24" s="139"/>
      <c r="D24" s="139"/>
      <c r="E24" s="139"/>
      <c r="F24" s="139"/>
      <c r="G24" s="139"/>
    </row>
    <row r="25" spans="1:7" ht="17.100000000000001" customHeight="1">
      <c r="A25" s="142" t="s">
        <v>81</v>
      </c>
      <c r="B25" s="139"/>
      <c r="C25" s="139"/>
      <c r="D25" s="139"/>
      <c r="E25" s="139"/>
      <c r="F25" s="139"/>
      <c r="G25" s="139"/>
    </row>
    <row r="26" spans="1:7" ht="17.100000000000001" customHeight="1">
      <c r="A26" s="143" t="s">
        <v>123</v>
      </c>
      <c r="B26" s="140">
        <f t="shared" ref="B26:C26" si="7">ROUND(B11/B$8*100,1)</f>
        <v>0.1</v>
      </c>
      <c r="C26" s="140">
        <f t="shared" si="7"/>
        <v>0.1</v>
      </c>
      <c r="D26" s="140">
        <f t="shared" ref="D26:E26" si="8">ROUND(D11/D$8*100,1)</f>
        <v>0.1</v>
      </c>
      <c r="E26" s="140">
        <f t="shared" si="8"/>
        <v>0</v>
      </c>
      <c r="F26" s="140">
        <f t="shared" ref="F26:G26" si="9">ROUND(F11/F$8*100,1)</f>
        <v>0</v>
      </c>
      <c r="G26" s="140">
        <f t="shared" si="9"/>
        <v>0</v>
      </c>
    </row>
    <row r="27" spans="1:7" ht="17.100000000000001" customHeight="1">
      <c r="A27" s="143" t="s">
        <v>124</v>
      </c>
      <c r="B27" s="139">
        <f t="shared" ref="B27:C27" si="10">SUM(B28:B30)</f>
        <v>99.9</v>
      </c>
      <c r="C27" s="139">
        <f t="shared" si="10"/>
        <v>99.9</v>
      </c>
      <c r="D27" s="139">
        <f t="shared" ref="D27:E27" si="11">SUM(D28:D30)</f>
        <v>99.9</v>
      </c>
      <c r="E27" s="139">
        <f t="shared" si="11"/>
        <v>99.999999999999986</v>
      </c>
      <c r="F27" s="139">
        <f t="shared" ref="F27:G27" si="12">SUM(F28:F30)</f>
        <v>100</v>
      </c>
      <c r="G27" s="139">
        <f t="shared" si="12"/>
        <v>100</v>
      </c>
    </row>
    <row r="28" spans="1:7" ht="17.100000000000001" customHeight="1">
      <c r="A28" s="144" t="s">
        <v>125</v>
      </c>
      <c r="B28" s="136">
        <f t="shared" ref="B28:C28" si="13">ROUND(B13/B$8*100,1)</f>
        <v>0</v>
      </c>
      <c r="C28" s="136">
        <f t="shared" si="13"/>
        <v>0</v>
      </c>
      <c r="D28" s="136">
        <f t="shared" ref="D28:E28" si="14">ROUND(D13/D$8*100,1)</f>
        <v>0</v>
      </c>
      <c r="E28" s="136">
        <f t="shared" si="14"/>
        <v>0</v>
      </c>
      <c r="F28" s="136">
        <f t="shared" ref="F28:G28" si="15">ROUND(F13/F$8*100,1)</f>
        <v>0</v>
      </c>
      <c r="G28" s="136">
        <f t="shared" si="15"/>
        <v>0</v>
      </c>
    </row>
    <row r="29" spans="1:7" ht="17.100000000000001" customHeight="1">
      <c r="A29" s="144" t="s">
        <v>126</v>
      </c>
      <c r="B29" s="140">
        <f t="shared" ref="B29:C29" si="16">ROUND(B14/B$8*100,1)</f>
        <v>11.2</v>
      </c>
      <c r="C29" s="140">
        <f t="shared" si="16"/>
        <v>12.4</v>
      </c>
      <c r="D29" s="140">
        <f t="shared" ref="D29:E29" si="17">ROUND(D14/D$8*100,1)</f>
        <v>12</v>
      </c>
      <c r="E29" s="140">
        <f t="shared" si="17"/>
        <v>13.1</v>
      </c>
      <c r="F29" s="140">
        <f t="shared" ref="F29:G29" si="18">ROUND(F14/F$8*100,1)</f>
        <v>11.7</v>
      </c>
      <c r="G29" s="140">
        <f t="shared" si="18"/>
        <v>11.4</v>
      </c>
    </row>
    <row r="30" spans="1:7" ht="17.100000000000001" customHeight="1">
      <c r="A30" s="144" t="s">
        <v>127</v>
      </c>
      <c r="B30" s="140">
        <f t="shared" ref="B30:C30" si="19">ROUND(B15/B$8*100,1)</f>
        <v>88.7</v>
      </c>
      <c r="C30" s="140">
        <f t="shared" si="19"/>
        <v>87.5</v>
      </c>
      <c r="D30" s="140">
        <f>ROUND(D15/D$8*100,1)-0.1</f>
        <v>87.9</v>
      </c>
      <c r="E30" s="140">
        <f>ROUND(E15/E$8*100,1)+0.1</f>
        <v>86.899999999999991</v>
      </c>
      <c r="F30" s="140">
        <f>ROUND(F15/F$8*100,1)</f>
        <v>88.3</v>
      </c>
      <c r="G30" s="140">
        <f>ROUND(G15/G$8*100,1)</f>
        <v>88.6</v>
      </c>
    </row>
    <row r="31" spans="1:7" ht="17.100000000000001" customHeight="1">
      <c r="A31" s="143" t="s">
        <v>6</v>
      </c>
      <c r="B31" s="136">
        <f t="shared" ref="B31:C31" si="20">ROUND(B16/B$8*100,1)</f>
        <v>0</v>
      </c>
      <c r="C31" s="136">
        <f t="shared" si="20"/>
        <v>0</v>
      </c>
      <c r="D31" s="136">
        <f t="shared" ref="D31:E31" si="21">ROUND(D16/D$8*100,1)</f>
        <v>0</v>
      </c>
      <c r="E31" s="136">
        <f t="shared" si="21"/>
        <v>0</v>
      </c>
      <c r="F31" s="136">
        <f t="shared" ref="F31:G31" si="22">ROUND(F16/F$8*100,1)</f>
        <v>0</v>
      </c>
      <c r="G31" s="136">
        <f t="shared" si="22"/>
        <v>0</v>
      </c>
    </row>
    <row r="32" spans="1:7" ht="17.100000000000001" customHeight="1">
      <c r="A32" s="145" t="s">
        <v>7</v>
      </c>
      <c r="B32" s="139"/>
      <c r="C32" s="139"/>
      <c r="D32" s="139"/>
      <c r="E32" s="139"/>
      <c r="F32" s="139"/>
      <c r="G32" s="139"/>
    </row>
    <row r="33" spans="1:20" ht="17.100000000000001" customHeight="1">
      <c r="A33" s="141" t="s">
        <v>76</v>
      </c>
      <c r="B33" s="139"/>
      <c r="C33" s="139"/>
      <c r="D33" s="139"/>
      <c r="E33" s="139"/>
      <c r="F33" s="139"/>
      <c r="G33" s="139"/>
    </row>
    <row r="34" spans="1:20" ht="17.100000000000001" customHeight="1">
      <c r="A34" s="142" t="s">
        <v>75</v>
      </c>
      <c r="B34" s="139"/>
      <c r="C34" s="139"/>
      <c r="D34" s="139"/>
      <c r="E34" s="139"/>
      <c r="F34" s="139"/>
      <c r="G34" s="139"/>
      <c r="T34">
        <f>5907.5+8652.2</f>
        <v>14559.7</v>
      </c>
    </row>
    <row r="35" spans="1:20" ht="17.100000000000001" customHeight="1">
      <c r="A35" s="146" t="s">
        <v>128</v>
      </c>
      <c r="B35" s="140">
        <f t="shared" ref="B35:C35" si="23">ROUND(B20/B$8*100,1)</f>
        <v>7.4</v>
      </c>
      <c r="C35" s="140">
        <f t="shared" si="23"/>
        <v>7.6</v>
      </c>
      <c r="D35" s="140">
        <f t="shared" ref="D35:E35" si="24">ROUND(D20/D$8*100,1)</f>
        <v>7.7</v>
      </c>
      <c r="E35" s="140">
        <f t="shared" si="24"/>
        <v>8.6999999999999993</v>
      </c>
      <c r="F35" s="140">
        <f t="shared" ref="F35:G35" si="25">ROUND(F20/F$8*100,1)</f>
        <v>7.5</v>
      </c>
      <c r="G35" s="140">
        <f t="shared" si="25"/>
        <v>6.7</v>
      </c>
    </row>
    <row r="36" spans="1:20" ht="17.100000000000001" customHeight="1">
      <c r="A36" s="146" t="s">
        <v>129</v>
      </c>
      <c r="B36" s="140">
        <f t="shared" ref="B36:C36" si="26">ROUND(B21/B$8*100,1)</f>
        <v>92.6</v>
      </c>
      <c r="C36" s="140">
        <f t="shared" si="26"/>
        <v>92.4</v>
      </c>
      <c r="D36" s="140">
        <f t="shared" ref="D36:E36" si="27">ROUND(D21/D$8*100,1)</f>
        <v>92.3</v>
      </c>
      <c r="E36" s="140">
        <f t="shared" si="27"/>
        <v>91.3</v>
      </c>
      <c r="F36" s="140">
        <f t="shared" ref="F36:G36" si="28">ROUND(F21/F$8*100,1)</f>
        <v>92.5</v>
      </c>
      <c r="G36" s="140">
        <f t="shared" si="28"/>
        <v>93.3</v>
      </c>
    </row>
    <row r="37" spans="1:20" ht="11.25" customHeight="1">
      <c r="A37" s="6"/>
      <c r="B37" s="61"/>
      <c r="C37" s="61"/>
      <c r="D37" s="61"/>
      <c r="E37" s="61"/>
      <c r="F37" s="61"/>
      <c r="G37" s="61"/>
    </row>
    <row r="38" spans="1:20" ht="20.100000000000001" customHeight="1">
      <c r="A38" s="5"/>
    </row>
    <row r="39" spans="1:20" ht="20.100000000000001" customHeight="1">
      <c r="A39" s="5"/>
    </row>
    <row r="40" spans="1:20" ht="20.100000000000001" customHeight="1">
      <c r="A40" s="5"/>
    </row>
    <row r="41" spans="1:20" ht="20.100000000000001" customHeight="1">
      <c r="A41" s="5"/>
    </row>
    <row r="42" spans="1:20" ht="20.100000000000001" customHeight="1">
      <c r="A42" s="5"/>
    </row>
    <row r="43" spans="1:20" ht="20.100000000000001" customHeight="1">
      <c r="A43" s="5"/>
    </row>
    <row r="44" spans="1:20" ht="20.100000000000001" customHeight="1">
      <c r="A44" s="5"/>
    </row>
    <row r="45" spans="1:20" ht="20.100000000000001" customHeight="1">
      <c r="A45" s="5"/>
    </row>
    <row r="46" spans="1:20" ht="20.100000000000001" customHeight="1">
      <c r="A46" s="5"/>
    </row>
    <row r="47" spans="1:20" ht="20.100000000000001" customHeight="1">
      <c r="A47" s="5"/>
    </row>
    <row r="48" spans="1:20" ht="20.100000000000001" customHeight="1">
      <c r="A48" s="5"/>
    </row>
    <row r="49" spans="1:1">
      <c r="A49" s="5"/>
    </row>
    <row r="50" spans="1:1">
      <c r="A50" s="5"/>
    </row>
    <row r="51" spans="1:1">
      <c r="A51" s="5"/>
    </row>
  </sheetData>
  <mergeCells count="2">
    <mergeCell ref="B7:G7"/>
    <mergeCell ref="B22:G22"/>
  </mergeCells>
  <phoneticPr fontId="29" type="noConversion"/>
  <printOptions horizontalCentered="1"/>
  <pageMargins left="0.98425196850393704" right="0.98425196850393704" top="0.98425196850393704" bottom="0.98425196850393704" header="0.70866141732283472" footer="0.70866141732283472"/>
  <pageSetup firstPageNumber="182" orientation="portrait" r:id="rId1"/>
  <headerFooter alignWithMargins="0">
    <oddFooter xml:space="preserve">&amp;L       &amp;12Thương mại và Du lịch - Trade and Tourism&amp;R&amp;12&amp;P+378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Tên phần</vt:lpstr>
      <vt:lpstr>Giai thich</vt:lpstr>
      <vt:lpstr>Tong quan</vt:lpstr>
      <vt:lpstr>Thuong mai</vt:lpstr>
      <vt:lpstr>243</vt:lpstr>
      <vt:lpstr>244</vt:lpstr>
      <vt:lpstr>245</vt:lpstr>
      <vt:lpstr>246</vt:lpstr>
      <vt:lpstr>247</vt:lpstr>
      <vt:lpstr>248</vt:lpstr>
      <vt:lpstr>249</vt:lpstr>
      <vt:lpstr>250</vt:lpstr>
      <vt:lpstr>251</vt:lpstr>
      <vt:lpstr>252</vt:lpstr>
      <vt:lpstr>253</vt:lpstr>
      <vt:lpstr>254</vt:lpstr>
      <vt:lpstr>255</vt:lpstr>
      <vt:lpstr>186</vt:lpstr>
      <vt:lpstr>187</vt:lpstr>
      <vt:lpstr>256.</vt:lpstr>
      <vt:lpstr>257.</vt:lpstr>
      <vt:lpstr>258.</vt:lpstr>
      <vt:lpstr>259.</vt:lpstr>
      <vt:lpstr>'243'!Print_Area</vt:lpstr>
      <vt:lpstr>'244'!Print_Area</vt:lpstr>
      <vt:lpstr>'245'!Print_Area</vt:lpstr>
      <vt:lpstr>'246'!Print_Area</vt:lpstr>
      <vt:lpstr>'247'!Print_Area</vt:lpstr>
      <vt:lpstr>'248'!Print_Area</vt:lpstr>
      <vt:lpstr>'249'!Print_Area</vt:lpstr>
      <vt:lpstr>'250'!Print_Area</vt:lpstr>
      <vt:lpstr>'251'!Print_Area</vt:lpstr>
      <vt:lpstr>'252'!Print_Area</vt:lpstr>
      <vt:lpstr>'253'!Print_Area</vt:lpstr>
      <vt:lpstr>'254'!Print_Area</vt:lpstr>
      <vt:lpstr>'255'!Print_Area</vt:lpstr>
      <vt:lpstr>'256.'!Print_Area</vt:lpstr>
      <vt:lpstr>'257.'!Print_Area</vt:lpstr>
      <vt:lpstr>'258.'!Print_Area</vt:lpstr>
      <vt:lpstr>'259.'!Print_Area</vt:lpstr>
      <vt:lpstr>'Giai thich'!Print_Area</vt:lpstr>
      <vt:lpstr>'Thuong mai'!Print_Area</vt:lpstr>
      <vt:lpstr>'Thuong mai'!Print_Titles</vt:lpstr>
    </vt:vector>
  </TitlesOfParts>
  <Company>tctk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ptnam</dc:creator>
  <cp:lastModifiedBy>Admin</cp:lastModifiedBy>
  <cp:lastPrinted>2022-05-09T03:42:56Z</cp:lastPrinted>
  <dcterms:created xsi:type="dcterms:W3CDTF">2012-02-14T03:29:01Z</dcterms:created>
  <dcterms:modified xsi:type="dcterms:W3CDTF">2022-06-30T00:44:54Z</dcterms:modified>
</cp:coreProperties>
</file>