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6630" firstSheet="2" activeTab="2"/>
  </bookViews>
  <sheets>
    <sheet name="H_01" sheetId="2" state="hidden" r:id="rId1"/>
    <sheet name="H_11" sheetId="12" state="hidden" r:id="rId2"/>
    <sheet name="Dau gia dat" sheetId="16" r:id="rId3"/>
  </sheets>
  <definedNames>
    <definedName name="_xlnm.Print_Area" localSheetId="0">H_01!$A$1:$AH$73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9" i="16" l="1"/>
  <c r="AG49" i="16" s="1"/>
  <c r="Z49" i="16"/>
  <c r="V49" i="16"/>
  <c r="R49" i="16"/>
  <c r="N49" i="16"/>
  <c r="J49" i="16"/>
  <c r="AP48" i="16"/>
  <c r="AG48" i="16" s="1"/>
  <c r="Z48" i="16"/>
  <c r="V48" i="16"/>
  <c r="R48" i="16"/>
  <c r="N48" i="16"/>
  <c r="J48" i="16"/>
  <c r="AP47" i="16"/>
  <c r="AG47" i="16" s="1"/>
  <c r="Z47" i="16"/>
  <c r="V47" i="16"/>
  <c r="R47" i="16"/>
  <c r="N47" i="16"/>
  <c r="J47" i="16"/>
  <c r="AP45" i="16"/>
  <c r="AG45" i="16" s="1"/>
  <c r="Z45" i="16"/>
  <c r="V45" i="16"/>
  <c r="R45" i="16"/>
  <c r="N45" i="16"/>
  <c r="J45" i="16"/>
  <c r="AP38" i="16"/>
  <c r="AG38" i="16" s="1"/>
  <c r="Z38" i="16"/>
  <c r="V38" i="16"/>
  <c r="R38" i="16"/>
  <c r="N38" i="16"/>
  <c r="J38" i="16"/>
  <c r="AP32" i="16"/>
  <c r="AG32" i="16" s="1"/>
  <c r="Z32" i="16"/>
  <c r="V32" i="16"/>
  <c r="R32" i="16"/>
  <c r="N32" i="16"/>
  <c r="J32" i="16"/>
  <c r="AP31" i="16"/>
  <c r="AG31" i="16" s="1"/>
  <c r="Z31" i="16"/>
  <c r="V31" i="16"/>
  <c r="R31" i="16"/>
  <c r="N31" i="16"/>
  <c r="J31" i="16"/>
  <c r="AP30" i="16"/>
  <c r="AG30" i="16" s="1"/>
  <c r="Z30" i="16"/>
  <c r="V30" i="16"/>
  <c r="R30" i="16"/>
  <c r="N30" i="16"/>
  <c r="J30" i="16"/>
  <c r="AP27" i="16"/>
  <c r="AG27" i="16" s="1"/>
  <c r="Z27" i="16"/>
  <c r="V27" i="16"/>
  <c r="R27" i="16"/>
  <c r="N27" i="16"/>
  <c r="J27" i="16"/>
  <c r="AP20" i="16"/>
  <c r="AG20" i="16" s="1"/>
  <c r="Z20" i="16"/>
  <c r="V20" i="16"/>
  <c r="R20" i="16"/>
  <c r="N20" i="16"/>
  <c r="J20" i="16"/>
  <c r="AP19" i="16"/>
  <c r="AG19" i="16" s="1"/>
  <c r="Z19" i="16"/>
  <c r="V19" i="16"/>
  <c r="R19" i="16"/>
  <c r="N19" i="16"/>
  <c r="J19" i="16"/>
  <c r="AP18" i="16"/>
  <c r="AG18" i="16" s="1"/>
  <c r="Z18" i="16"/>
  <c r="V18" i="16"/>
  <c r="R18" i="16"/>
  <c r="N18" i="16"/>
  <c r="J18" i="16"/>
  <c r="AP16" i="16"/>
  <c r="AG16" i="16" s="1"/>
  <c r="Z16" i="16"/>
  <c r="V16" i="16"/>
  <c r="R16" i="16"/>
  <c r="N16" i="16"/>
  <c r="J16" i="16"/>
  <c r="AP14" i="16"/>
  <c r="AG14" i="16" s="1"/>
  <c r="Z14" i="16"/>
  <c r="V14" i="16"/>
  <c r="R14" i="16"/>
  <c r="N14" i="16"/>
  <c r="J14" i="16"/>
  <c r="AP13" i="16"/>
  <c r="AG13" i="16" s="1"/>
  <c r="Z13" i="16"/>
  <c r="V13" i="16"/>
  <c r="R13" i="16"/>
  <c r="N13" i="16"/>
  <c r="J13" i="16"/>
  <c r="AP12" i="16"/>
  <c r="AG12" i="16" s="1"/>
  <c r="Z12" i="16"/>
  <c r="V12" i="16"/>
  <c r="R12" i="16"/>
  <c r="N12" i="16"/>
  <c r="J12" i="16"/>
  <c r="AP8" i="16"/>
  <c r="AG8" i="16" s="1"/>
  <c r="Z8" i="16"/>
  <c r="V8" i="16"/>
  <c r="R8" i="16"/>
  <c r="N8" i="16"/>
  <c r="J8" i="16"/>
  <c r="I49" i="16" l="1"/>
  <c r="I32" i="16"/>
  <c r="I38" i="16"/>
  <c r="I31" i="16"/>
  <c r="I47" i="16"/>
  <c r="I30" i="16"/>
  <c r="I45" i="16"/>
  <c r="I12" i="16"/>
  <c r="I14" i="16"/>
  <c r="I48" i="16"/>
  <c r="I19" i="16"/>
  <c r="I8" i="16"/>
  <c r="I18" i="16"/>
  <c r="I27" i="16"/>
  <c r="I13" i="16"/>
  <c r="I16" i="16"/>
  <c r="I20" i="16"/>
  <c r="B79" i="2" l="1"/>
  <c r="D73" i="2"/>
  <c r="L72" i="2"/>
  <c r="D72" i="2" s="1"/>
  <c r="D71" i="2"/>
  <c r="D70" i="2"/>
  <c r="L69" i="2"/>
  <c r="D69" i="2"/>
  <c r="D68" i="2"/>
  <c r="D67" i="2"/>
  <c r="D66" i="2"/>
  <c r="L65" i="2"/>
  <c r="D65" i="2" s="1"/>
  <c r="D64" i="2"/>
  <c r="L63" i="2"/>
  <c r="D63" i="2" s="1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O45" i="2"/>
  <c r="D45" i="2"/>
  <c r="O44" i="2"/>
  <c r="L44" i="2"/>
  <c r="AH43" i="2"/>
  <c r="AG43" i="2"/>
  <c r="AG34" i="2" s="1"/>
  <c r="AF43" i="2"/>
  <c r="AF34" i="2" s="1"/>
  <c r="AE43" i="2"/>
  <c r="AD43" i="2"/>
  <c r="AD34" i="2" s="1"/>
  <c r="AC43" i="2"/>
  <c r="AB43" i="2"/>
  <c r="AB34" i="2" s="1"/>
  <c r="AA43" i="2"/>
  <c r="Z43" i="2"/>
  <c r="Z34" i="2" s="1"/>
  <c r="Y43" i="2"/>
  <c r="Y34" i="2" s="1"/>
  <c r="X43" i="2"/>
  <c r="X34" i="2" s="1"/>
  <c r="W43" i="2"/>
  <c r="V43" i="2"/>
  <c r="V34" i="2" s="1"/>
  <c r="U43" i="2"/>
  <c r="T43" i="2"/>
  <c r="T34" i="2" s="1"/>
  <c r="S43" i="2"/>
  <c r="R43" i="2"/>
  <c r="R34" i="2" s="1"/>
  <c r="Q43" i="2"/>
  <c r="Q34" i="2" s="1"/>
  <c r="P43" i="2"/>
  <c r="P34" i="2" s="1"/>
  <c r="N43" i="2"/>
  <c r="N34" i="2" s="1"/>
  <c r="M43" i="2"/>
  <c r="M34" i="2" s="1"/>
  <c r="K43" i="2"/>
  <c r="J43" i="2"/>
  <c r="I43" i="2"/>
  <c r="H43" i="2"/>
  <c r="H34" i="2" s="1"/>
  <c r="D42" i="2"/>
  <c r="D41" i="2"/>
  <c r="D40" i="2"/>
  <c r="D39" i="2"/>
  <c r="D38" i="2"/>
  <c r="D37" i="2"/>
  <c r="D36" i="2"/>
  <c r="D35" i="2"/>
  <c r="AH34" i="2"/>
  <c r="AE34" i="2"/>
  <c r="AC34" i="2"/>
  <c r="AA34" i="2"/>
  <c r="W34" i="2"/>
  <c r="U34" i="2"/>
  <c r="S34" i="2"/>
  <c r="K34" i="2"/>
  <c r="J34" i="2"/>
  <c r="I34" i="2"/>
  <c r="D33" i="2"/>
  <c r="D32" i="2"/>
  <c r="L31" i="2"/>
  <c r="D31" i="2"/>
  <c r="D30" i="2"/>
  <c r="AH29" i="2"/>
  <c r="AG29" i="2"/>
  <c r="AG27" i="2" s="1"/>
  <c r="AC29" i="2"/>
  <c r="AC27" i="2" s="1"/>
  <c r="AC76" i="2" s="1"/>
  <c r="Z29" i="2"/>
  <c r="Z27" i="2" s="1"/>
  <c r="W29" i="2"/>
  <c r="W27" i="2" s="1"/>
  <c r="V29" i="2"/>
  <c r="V27" i="2" s="1"/>
  <c r="V76" i="2" s="1"/>
  <c r="S29" i="2"/>
  <c r="S27" i="2" s="1"/>
  <c r="S76" i="2" s="1"/>
  <c r="Q29" i="2"/>
  <c r="O29" i="2"/>
  <c r="L29" i="2"/>
  <c r="L27" i="2" s="1"/>
  <c r="L76" i="2" s="1"/>
  <c r="Q28" i="2"/>
  <c r="AH27" i="2"/>
  <c r="AH76" i="2" s="1"/>
  <c r="AF27" i="2"/>
  <c r="AE27" i="2"/>
  <c r="AD27" i="2"/>
  <c r="AD76" i="2" s="1"/>
  <c r="AB27" i="2"/>
  <c r="AA27" i="2"/>
  <c r="AA76" i="2" s="1"/>
  <c r="Y27" i="2"/>
  <c r="X27" i="2"/>
  <c r="U27" i="2"/>
  <c r="T27" i="2"/>
  <c r="R27" i="2"/>
  <c r="P27" i="2"/>
  <c r="O27" i="2"/>
  <c r="N27" i="2"/>
  <c r="N76" i="2" s="1"/>
  <c r="M27" i="2"/>
  <c r="M76" i="2" s="1"/>
  <c r="K27" i="2"/>
  <c r="K76" i="2" s="1"/>
  <c r="J27" i="2"/>
  <c r="J76" i="2" s="1"/>
  <c r="I27" i="2"/>
  <c r="H27" i="2"/>
  <c r="D26" i="2"/>
  <c r="D25" i="2"/>
  <c r="D24" i="2"/>
  <c r="D23" i="2"/>
  <c r="D22" i="2"/>
  <c r="D21" i="2"/>
  <c r="L20" i="2"/>
  <c r="D20" i="2" s="1"/>
  <c r="AH19" i="2"/>
  <c r="AG19" i="2"/>
  <c r="AF19" i="2"/>
  <c r="AF76" i="2" s="1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P76" i="2" s="1"/>
  <c r="O19" i="2"/>
  <c r="N19" i="2"/>
  <c r="M19" i="2"/>
  <c r="L19" i="2"/>
  <c r="K19" i="2"/>
  <c r="J19" i="2"/>
  <c r="I19" i="2"/>
  <c r="H19" i="2"/>
  <c r="L18" i="2"/>
  <c r="D18" i="2" s="1"/>
  <c r="B1" i="2" s="1"/>
  <c r="H18" i="2"/>
  <c r="AH17" i="2"/>
  <c r="AH15" i="2" s="1"/>
  <c r="AG17" i="2"/>
  <c r="AG15" i="2" s="1"/>
  <c r="AF17" i="2"/>
  <c r="AE17" i="2"/>
  <c r="AE15" i="2" s="1"/>
  <c r="AE10" i="2" s="1"/>
  <c r="AE9" i="2" s="1"/>
  <c r="AE4" i="2" s="1"/>
  <c r="AD17" i="2"/>
  <c r="AD15" i="2" s="1"/>
  <c r="AC17" i="2"/>
  <c r="AC15" i="2" s="1"/>
  <c r="AA17" i="2"/>
  <c r="Z17" i="2"/>
  <c r="Z15" i="2" s="1"/>
  <c r="Y17" i="2"/>
  <c r="X17" i="2"/>
  <c r="X15" i="2" s="1"/>
  <c r="W17" i="2"/>
  <c r="W15" i="2" s="1"/>
  <c r="V17" i="2"/>
  <c r="V15" i="2" s="1"/>
  <c r="S17" i="2"/>
  <c r="S15" i="2" s="1"/>
  <c r="Q17" i="2"/>
  <c r="Q15" i="2" s="1"/>
  <c r="P17" i="2"/>
  <c r="O17" i="2"/>
  <c r="O15" i="2" s="1"/>
  <c r="M17" i="2"/>
  <c r="L17" i="2"/>
  <c r="L15" i="2" s="1"/>
  <c r="K17" i="2"/>
  <c r="J17" i="2"/>
  <c r="J15" i="2" s="1"/>
  <c r="J10" i="2" s="1"/>
  <c r="J9" i="2" s="1"/>
  <c r="J4" i="2" s="1"/>
  <c r="I17" i="2"/>
  <c r="I15" i="2" s="1"/>
  <c r="I10" i="2" s="1"/>
  <c r="I9" i="2" s="1"/>
  <c r="I4" i="2" s="1"/>
  <c r="H17" i="2"/>
  <c r="H15" i="2" s="1"/>
  <c r="H10" i="2" s="1"/>
  <c r="D16" i="2"/>
  <c r="AF15" i="2"/>
  <c r="AB15" i="2"/>
  <c r="AA15" i="2"/>
  <c r="Y15" i="2"/>
  <c r="Y10" i="2" s="1"/>
  <c r="U15" i="2"/>
  <c r="T15" i="2"/>
  <c r="R15" i="2"/>
  <c r="P15" i="2"/>
  <c r="N15" i="2"/>
  <c r="M15" i="2"/>
  <c r="K15" i="2"/>
  <c r="K10" i="2" s="1"/>
  <c r="K9" i="2" s="1"/>
  <c r="K4" i="2" s="1"/>
  <c r="F14" i="2"/>
  <c r="D14" i="2"/>
  <c r="L13" i="2"/>
  <c r="D13" i="2" s="1"/>
  <c r="O12" i="2"/>
  <c r="O11" i="2" s="1"/>
  <c r="L12" i="2"/>
  <c r="D12" i="2" s="1"/>
  <c r="F12" i="2"/>
  <c r="AH11" i="2"/>
  <c r="AH10" i="2" s="1"/>
  <c r="AH9" i="2" s="1"/>
  <c r="AH4" i="2" s="1"/>
  <c r="AG11" i="2"/>
  <c r="AF11" i="2"/>
  <c r="AE11" i="2"/>
  <c r="AD11" i="2"/>
  <c r="AC11" i="2"/>
  <c r="AB11" i="2"/>
  <c r="AA11" i="2"/>
  <c r="Z11" i="2"/>
  <c r="Y11" i="2"/>
  <c r="X11" i="2"/>
  <c r="W11" i="2"/>
  <c r="W10" i="2" s="1"/>
  <c r="W9" i="2" s="1"/>
  <c r="W4" i="2" s="1"/>
  <c r="V11" i="2"/>
  <c r="U11" i="2"/>
  <c r="U10" i="2" s="1"/>
  <c r="U9" i="2" s="1"/>
  <c r="U4" i="2" s="1"/>
  <c r="T11" i="2"/>
  <c r="S11" i="2"/>
  <c r="R11" i="2"/>
  <c r="Q11" i="2"/>
  <c r="P11" i="2"/>
  <c r="N11" i="2"/>
  <c r="N10" i="2" s="1"/>
  <c r="N9" i="2" s="1"/>
  <c r="N4" i="2" s="1"/>
  <c r="M11" i="2"/>
  <c r="M10" i="2" s="1"/>
  <c r="L11" i="2"/>
  <c r="K11" i="2"/>
  <c r="J11" i="2"/>
  <c r="I11" i="2"/>
  <c r="H11" i="2"/>
  <c r="X10" i="2"/>
  <c r="X9" i="2" s="1"/>
  <c r="X4" i="2" s="1"/>
  <c r="R10" i="2"/>
  <c r="E1" i="2"/>
  <c r="M9" i="2" l="1"/>
  <c r="M4" i="2" s="1"/>
  <c r="Y9" i="2"/>
  <c r="Y4" i="2" s="1"/>
  <c r="T76" i="2"/>
  <c r="AA10" i="2"/>
  <c r="AA9" i="2" s="1"/>
  <c r="AA4" i="2" s="1"/>
  <c r="Z10" i="2"/>
  <c r="Z9" i="2" s="1"/>
  <c r="Z4" i="2" s="1"/>
  <c r="U76" i="2"/>
  <c r="AE76" i="2"/>
  <c r="AF10" i="2"/>
  <c r="AF9" i="2" s="1"/>
  <c r="AF4" i="2" s="1"/>
  <c r="R9" i="2"/>
  <c r="R4" i="2" s="1"/>
  <c r="S10" i="2"/>
  <c r="S9" i="2" s="1"/>
  <c r="S4" i="2" s="1"/>
  <c r="O10" i="2"/>
  <c r="D11" i="2"/>
  <c r="E14" i="2" s="1"/>
  <c r="AB10" i="2"/>
  <c r="AB9" i="2" s="1"/>
  <c r="AB4" i="2" s="1"/>
  <c r="W76" i="2"/>
  <c r="AC10" i="2"/>
  <c r="AC9" i="2" s="1"/>
  <c r="AC4" i="2" s="1"/>
  <c r="Y76" i="2"/>
  <c r="L10" i="2"/>
  <c r="X76" i="2"/>
  <c r="O76" i="2"/>
  <c r="AG76" i="2"/>
  <c r="P10" i="2"/>
  <c r="P9" i="2" s="1"/>
  <c r="P4" i="2" s="1"/>
  <c r="AG10" i="2"/>
  <c r="AG9" i="2" s="1"/>
  <c r="AG4" i="2" s="1"/>
  <c r="I76" i="2"/>
  <c r="O43" i="2"/>
  <c r="O34" i="2" s="1"/>
  <c r="H9" i="2"/>
  <c r="D29" i="2"/>
  <c r="AB76" i="2"/>
  <c r="E13" i="2"/>
  <c r="R76" i="2"/>
  <c r="L43" i="2"/>
  <c r="D44" i="2"/>
  <c r="D28" i="2"/>
  <c r="Q27" i="2"/>
  <c r="Q76" i="2" s="1"/>
  <c r="T10" i="2"/>
  <c r="T9" i="2" s="1"/>
  <c r="T4" i="2" s="1"/>
  <c r="E12" i="2"/>
  <c r="D17" i="2"/>
  <c r="D15" i="2"/>
  <c r="G12" i="2" s="1"/>
  <c r="G13" i="2" s="1"/>
  <c r="V10" i="2"/>
  <c r="V9" i="2" s="1"/>
  <c r="V4" i="2" s="1"/>
  <c r="AD10" i="2"/>
  <c r="AD9" i="2" s="1"/>
  <c r="AD4" i="2" s="1"/>
  <c r="D19" i="2"/>
  <c r="H76" i="2"/>
  <c r="Z76" i="2"/>
  <c r="O9" i="2" l="1"/>
  <c r="O4" i="2" s="1"/>
  <c r="D27" i="2"/>
  <c r="H4" i="2"/>
  <c r="L34" i="2"/>
  <c r="D43" i="2"/>
  <c r="E44" i="2" s="1"/>
  <c r="Q10" i="2"/>
  <c r="G14" i="2"/>
  <c r="L9" i="2" l="1"/>
  <c r="D34" i="2"/>
  <c r="Q9" i="2"/>
  <c r="Q4" i="2" s="1"/>
  <c r="D10" i="2"/>
  <c r="E27" i="2"/>
  <c r="G48" i="2"/>
  <c r="G57" i="2"/>
  <c r="E48" i="2"/>
  <c r="E57" i="2"/>
  <c r="G49" i="2"/>
  <c r="E43" i="2"/>
  <c r="E49" i="2"/>
  <c r="E59" i="2"/>
  <c r="G46" i="2"/>
  <c r="G58" i="2"/>
  <c r="E47" i="2"/>
  <c r="G47" i="2"/>
  <c r="G59" i="2"/>
  <c r="E50" i="2"/>
  <c r="G52" i="2"/>
  <c r="G45" i="2"/>
  <c r="E52" i="2"/>
  <c r="E45" i="2"/>
  <c r="E51" i="2"/>
  <c r="E58" i="2"/>
  <c r="G50" i="2"/>
  <c r="E46" i="2"/>
  <c r="G51" i="2"/>
  <c r="G44" i="2"/>
  <c r="E31" i="2" l="1"/>
  <c r="E23" i="2"/>
  <c r="E33" i="2"/>
  <c r="E10" i="2"/>
  <c r="E18" i="2"/>
  <c r="E11" i="2"/>
  <c r="E15" i="2"/>
  <c r="E19" i="2"/>
  <c r="E67" i="2"/>
  <c r="E60" i="2"/>
  <c r="E41" i="2"/>
  <c r="E37" i="2"/>
  <c r="E34" i="2"/>
  <c r="E56" i="2"/>
  <c r="E55" i="2"/>
  <c r="E70" i="2"/>
  <c r="E38" i="2"/>
  <c r="E35" i="2"/>
  <c r="E62" i="2"/>
  <c r="E36" i="2"/>
  <c r="E39" i="2"/>
  <c r="E42" i="2"/>
  <c r="E40" i="2"/>
  <c r="E66" i="2"/>
  <c r="E64" i="2"/>
  <c r="E63" i="2"/>
  <c r="E69" i="2"/>
  <c r="E54" i="2"/>
  <c r="E61" i="2"/>
  <c r="E65" i="2"/>
  <c r="E53" i="2"/>
  <c r="E68" i="2"/>
  <c r="L4" i="2"/>
  <c r="D9" i="2"/>
  <c r="E72" i="2" l="1"/>
</calcChain>
</file>

<file path=xl/comments1.xml><?xml version="1.0" encoding="utf-8"?>
<comments xmlns="http://schemas.openxmlformats.org/spreadsheetml/2006/main">
  <authors>
    <author>Author</author>
  </authors>
  <commentList>
    <comment ref="R17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6 C Tô Buông</t>
        </r>
      </text>
    </comment>
    <comment ref="N39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Cây xăng SV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Cây xăng Tú Nang
</t>
        </r>
      </text>
    </comment>
    <comment ref="R39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Cửa hàng xăng dầu Lóng Phiêng</t>
        </r>
      </text>
    </comment>
    <comment ref="T3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có 2 cây xăng (cây xăng 0,16 ha đất CLN)</t>
        </r>
      </text>
    </comment>
    <comment ref="M42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mỏ đá Chiềng Khoi</t>
        </r>
      </text>
    </comment>
    <comment ref="H44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Xử lý cung đường đen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Nâng cấp đường QL 6 đến bản Na Pa 5 ha, cầu bản Khá 0,02 ha+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Bến xe khách phía nam TT</t>
        </r>
      </text>
    </comment>
    <comment ref="T44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QL 6C huổi sai, 6C Tam Thanh</t>
        </r>
      </text>
    </comment>
    <comment ref="U44" author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Đường Keo đồn ta liễu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cũ là 3,22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TĐC Na Pản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2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Hỏi Duy lại đất này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Lấy vào Bến xe khách cũ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Đấu gia trụ sở CA cũ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Đấu giá thành đất SXC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Nhà Khách UBND huyên</t>
        </r>
      </text>
    </comment>
  </commentList>
</comments>
</file>

<file path=xl/sharedStrings.xml><?xml version="1.0" encoding="utf-8"?>
<sst xmlns="http://schemas.openxmlformats.org/spreadsheetml/2006/main" count="735" uniqueCount="353">
  <si>
    <t>STT</t>
  </si>
  <si>
    <t>Chỉ tiêu sử dụng đất</t>
  </si>
  <si>
    <t>Mã</t>
  </si>
  <si>
    <t>Tổng diện tích</t>
  </si>
  <si>
    <t>Cơ cấu</t>
  </si>
  <si>
    <t>Chỉ tiêu 2016</t>
  </si>
  <si>
    <t xml:space="preserve">Phân theo đơn vị hành chính </t>
  </si>
  <si>
    <t>Xã Mường Thải</t>
  </si>
  <si>
    <t>Xã Mường Cơi</t>
  </si>
  <si>
    <t>Xã Tân Lang</t>
  </si>
  <si>
    <t>Xã Mường Lang</t>
  </si>
  <si>
    <t>Xã Mường Bang</t>
  </si>
  <si>
    <t>Xã  Mường Do</t>
  </si>
  <si>
    <t>Thị Trấn Phù Yên</t>
  </si>
  <si>
    <t>Xã Huy Hạ</t>
  </si>
  <si>
    <t>Xã Huy Bắc</t>
  </si>
  <si>
    <t>Xã Huy Tường</t>
  </si>
  <si>
    <t>Xã Huy Thượng</t>
  </si>
  <si>
    <t>Xã Huy Tân</t>
  </si>
  <si>
    <t>Xã Quang Huy</t>
  </si>
  <si>
    <t>Xã Tường Phù</t>
  </si>
  <si>
    <t>Xã Gia Phù</t>
  </si>
  <si>
    <t>Xã Tường Hạ</t>
  </si>
  <si>
    <t>Xã Tường Thượng</t>
  </si>
  <si>
    <t>Xã Tường Tiến</t>
  </si>
  <si>
    <t>Xã Sập Xa</t>
  </si>
  <si>
    <t>Xã Đá Đỏ</t>
  </si>
  <si>
    <t>Xã Tân Phong</t>
  </si>
  <si>
    <t>Xã Tường Phong</t>
  </si>
  <si>
    <t>Xã Bắc Phong</t>
  </si>
  <si>
    <t>Xã Nam Phong</t>
  </si>
  <si>
    <t>Xã Suối Tọ</t>
  </si>
  <si>
    <t>Xã Suối Bau</t>
  </si>
  <si>
    <t>Xã Kim Bon</t>
  </si>
  <si>
    <t>(31)</t>
  </si>
  <si>
    <t>I</t>
  </si>
  <si>
    <t>LOẠI ĐẤT</t>
  </si>
  <si>
    <t>Đất nông nghiệp</t>
  </si>
  <si>
    <t>NNP</t>
  </si>
  <si>
    <t>1.1</t>
  </si>
  <si>
    <t>Đất trồng lúa</t>
  </si>
  <si>
    <t>LUA</t>
  </si>
  <si>
    <t>1.1.1</t>
  </si>
  <si>
    <t>Trong đó: Đất chuyên trồng lúa nước</t>
  </si>
  <si>
    <t>LUC</t>
  </si>
  <si>
    <t>1.1.2</t>
  </si>
  <si>
    <t>Đất trồng lúa một vụ</t>
  </si>
  <si>
    <t>LUK</t>
  </si>
  <si>
    <t>1.1.3</t>
  </si>
  <si>
    <t>Đất lúa nương</t>
  </si>
  <si>
    <t>LUN</t>
  </si>
  <si>
    <t>1.2</t>
  </si>
  <si>
    <t>Đất trồng cây hàng năm khác</t>
  </si>
  <si>
    <t>HNK</t>
  </si>
  <si>
    <t>Đất bằng trồng cây hàng năm khác</t>
  </si>
  <si>
    <t>BHK</t>
  </si>
  <si>
    <t>Đất nương rẫy trồng cây hàng năm khác</t>
  </si>
  <si>
    <t>NHK</t>
  </si>
  <si>
    <t>1.3</t>
  </si>
  <si>
    <t>Đất trồng cây lâu năm</t>
  </si>
  <si>
    <t>CLN</t>
  </si>
  <si>
    <t>1.4</t>
  </si>
  <si>
    <t>Đất rừng phòng hộ</t>
  </si>
  <si>
    <t>RPH</t>
  </si>
  <si>
    <t>Đất rừng phòng hộ là rừng tự nhiên</t>
  </si>
  <si>
    <t>RPN</t>
  </si>
  <si>
    <t>Đất rừng phòng hộ là rừng trồng</t>
  </si>
  <si>
    <t>RPT</t>
  </si>
  <si>
    <t xml:space="preserve">Đất đang sử dụng để bảo vệ, phát triển rừng phòng hộ </t>
  </si>
  <si>
    <t>RPM</t>
  </si>
  <si>
    <t>1.5</t>
  </si>
  <si>
    <t>Đất rừng đặc dụng</t>
  </si>
  <si>
    <t>RDD</t>
  </si>
  <si>
    <t>Đất có rừng đặc dụng là rừng tự nhiên</t>
  </si>
  <si>
    <t>RDN</t>
  </si>
  <si>
    <t>Đất có rừng đặc dụng là rừng trồng</t>
  </si>
  <si>
    <t>RDT</t>
  </si>
  <si>
    <t xml:space="preserve">Đất đang sử dụng để bảo vệ, phát triển rừng đặc dụng </t>
  </si>
  <si>
    <t>RDM</t>
  </si>
  <si>
    <t>1.6</t>
  </si>
  <si>
    <t>Đất rừng sản xuất</t>
  </si>
  <si>
    <t>RSX</t>
  </si>
  <si>
    <t>Đất có rừng sản xuất là rừng tự nhiên</t>
  </si>
  <si>
    <t>RSN</t>
  </si>
  <si>
    <t>Đất có rừng sản xuất là rừng trồng</t>
  </si>
  <si>
    <t>RST</t>
  </si>
  <si>
    <t>Đất đang sử dụng để bảo vệ, phát triển rừng sản xuất</t>
  </si>
  <si>
    <t>RSM</t>
  </si>
  <si>
    <t>1.7</t>
  </si>
  <si>
    <t xml:space="preserve">Đất nuôi trồng thuỷ sản </t>
  </si>
  <si>
    <t>NTS</t>
  </si>
  <si>
    <t>1.8</t>
  </si>
  <si>
    <t>Đất làm muối</t>
  </si>
  <si>
    <t>LMU</t>
  </si>
  <si>
    <t>Đất nông nghiệp khác</t>
  </si>
  <si>
    <t>NKH</t>
  </si>
  <si>
    <t>Đất phi nông nghiệp</t>
  </si>
  <si>
    <t>PNN</t>
  </si>
  <si>
    <t>2.1</t>
  </si>
  <si>
    <t>Đất quốc phòng</t>
  </si>
  <si>
    <t>CQP</t>
  </si>
  <si>
    <t>2.2</t>
  </si>
  <si>
    <t>Đất an ninh</t>
  </si>
  <si>
    <t>CAN</t>
  </si>
  <si>
    <t>2.3</t>
  </si>
  <si>
    <t>Đất khu công nghiệp</t>
  </si>
  <si>
    <t>SKK</t>
  </si>
  <si>
    <t>Đất cụm công nghiệp</t>
  </si>
  <si>
    <t>SKN</t>
  </si>
  <si>
    <t>Đất thương mại, dịch vụ</t>
  </si>
  <si>
    <t>TMD</t>
  </si>
  <si>
    <t>Đất cơ sở sản xuất phi nông nghiệp</t>
  </si>
  <si>
    <t>SKC</t>
  </si>
  <si>
    <t>Đất sử dụng cho hoạt động khoáng sản</t>
  </si>
  <si>
    <t>SKS</t>
  </si>
  <si>
    <t>Đất sản xuất vật liệu xây dựng, làm đồ gốm</t>
  </si>
  <si>
    <t>SKX</t>
  </si>
  <si>
    <t>Đất phát triển hạ tầng cấp quốc gia, cấp tỉnh, cấp huyện, cấp xã</t>
  </si>
  <si>
    <t>DHT</t>
  </si>
  <si>
    <t>2.9.1</t>
  </si>
  <si>
    <t xml:space="preserve"> - Đất giao thông</t>
  </si>
  <si>
    <t>DGT</t>
  </si>
  <si>
    <t>2.9.2</t>
  </si>
  <si>
    <t xml:space="preserve"> - Đất thủy lơi</t>
  </si>
  <si>
    <t>DTL</t>
  </si>
  <si>
    <t>2.9.3</t>
  </si>
  <si>
    <t xml:space="preserve"> - Đất cơ sở văn hóa</t>
  </si>
  <si>
    <t>DVH</t>
  </si>
  <si>
    <t>2.9.4</t>
  </si>
  <si>
    <t xml:space="preserve"> - Đất cơ sở y tế</t>
  </si>
  <si>
    <t>DYT</t>
  </si>
  <si>
    <t>2.9.5</t>
  </si>
  <si>
    <t xml:space="preserve"> - Đất cơ sở giáo dục - đào tạo</t>
  </si>
  <si>
    <t>DGD</t>
  </si>
  <si>
    <t>2.9.6</t>
  </si>
  <si>
    <t xml:space="preserve"> - Đất cơ sở thể dục - thể thao</t>
  </si>
  <si>
    <t>DTT</t>
  </si>
  <si>
    <t>2.9.7</t>
  </si>
  <si>
    <t xml:space="preserve"> - Đất công trình năng lượng </t>
  </si>
  <si>
    <t>DNL</t>
  </si>
  <si>
    <t>2.9.8</t>
  </si>
  <si>
    <t xml:space="preserve"> - Đất công trình bưu chính viễn thông</t>
  </si>
  <si>
    <t>DBV</t>
  </si>
  <si>
    <t>2.9.9</t>
  </si>
  <si>
    <t>- Đất xây dựng kho dự trữ quốc gia</t>
  </si>
  <si>
    <t>DKG</t>
  </si>
  <si>
    <t>2.9.10</t>
  </si>
  <si>
    <t>Đất có di tích lịch sử - văn hóa</t>
  </si>
  <si>
    <t>DDT</t>
  </si>
  <si>
    <t>2.9.11</t>
  </si>
  <si>
    <t>Đất bãi thải, xử lý chất thải</t>
  </si>
  <si>
    <t>DRA</t>
  </si>
  <si>
    <t>2.9.12</t>
  </si>
  <si>
    <t>Đất cơ sở tôn giáo</t>
  </si>
  <si>
    <t>TON</t>
  </si>
  <si>
    <t>2.9.13</t>
  </si>
  <si>
    <t>Đất làm nghĩa trang, nghĩa địa, nhà tang lễ, nhà hỏa táng</t>
  </si>
  <si>
    <t>NTD</t>
  </si>
  <si>
    <t>2.9.14</t>
  </si>
  <si>
    <t xml:space="preserve"> - Đất cơ sở nghiên cứu khoa học</t>
  </si>
  <si>
    <t>DKH</t>
  </si>
  <si>
    <t>2.9.15</t>
  </si>
  <si>
    <t xml:space="preserve"> - Đất cơ sở dịch vụ về xã hội</t>
  </si>
  <si>
    <t>DXH</t>
  </si>
  <si>
    <t>2.9.16</t>
  </si>
  <si>
    <t xml:space="preserve"> - Đất chợ</t>
  </si>
  <si>
    <t>DCH</t>
  </si>
  <si>
    <t>2.10</t>
  </si>
  <si>
    <t>Đất danh lam thắng cảnh</t>
  </si>
  <si>
    <t>DDL</t>
  </si>
  <si>
    <t>Đất sinh hoạt cộng đồng</t>
  </si>
  <si>
    <t>DSH</t>
  </si>
  <si>
    <t>Đất khu vui chơi, giải trí công cộng</t>
  </si>
  <si>
    <t>DKV</t>
  </si>
  <si>
    <t>Đất ở tại nông thôn</t>
  </si>
  <si>
    <t>ONT</t>
  </si>
  <si>
    <t>Đất ở tại đô thị</t>
  </si>
  <si>
    <t>ODT</t>
  </si>
  <si>
    <t>Đất xây dựng trụ sở cơ quan</t>
  </si>
  <si>
    <t>TSC</t>
  </si>
  <si>
    <t>Đất xây dựng trụ sở của tổ chức sự nghiệp</t>
  </si>
  <si>
    <t>DTS</t>
  </si>
  <si>
    <t>Đất xây dựng cơ sở ngoại giao</t>
  </si>
  <si>
    <t>DNG</t>
  </si>
  <si>
    <t>Đất cơ sở tín ngưỡng</t>
  </si>
  <si>
    <t>TIN</t>
  </si>
  <si>
    <t xml:space="preserve">Đất sông, ngòi, kênh, rạch, suối </t>
  </si>
  <si>
    <t>SON</t>
  </si>
  <si>
    <t>Đất có mặt nước chuyên dùng</t>
  </si>
  <si>
    <t>MNC</t>
  </si>
  <si>
    <t>Đất phi nông nghiệp khác</t>
  </si>
  <si>
    <t>PNK</t>
  </si>
  <si>
    <t>Đất chưa sử dụng</t>
  </si>
  <si>
    <t>CSD</t>
  </si>
  <si>
    <t>Đất đô thị*</t>
  </si>
  <si>
    <t>KDT</t>
  </si>
  <si>
    <t>Ghi chú: * Không tổng hợp khi tính tổng diện tích tự nhiên</t>
  </si>
  <si>
    <t>HIỆN TRẠNG SỬ DỤNG ĐẤT ƯỚC THỰC HIỆN NĂM 2021 HUYỆN PHÙ YÊN</t>
  </si>
  <si>
    <t>(4)=(5)+...+(19)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</si>
  <si>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</si>
  <si>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</si>
  <si>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</si>
  <si>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</si>
  <si>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</si>
  <si>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</si>
  <si>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</si>
  <si>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</si>
  <si>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</si>
  <si>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</si>
  <si>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</si>
  <si>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</si>
  <si>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</si>
  <si>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HUYỆN YÊN CHÂU - TỈNH SƠN LA</t>
  </si>
  <si>
    <t>2.4</t>
  </si>
  <si>
    <t>2.5</t>
  </si>
  <si>
    <t>2.6</t>
  </si>
  <si>
    <t>2.7</t>
  </si>
  <si>
    <t>2.8</t>
  </si>
  <si>
    <t>2.9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</si>
  <si>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</si>
  <si>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</si>
  <si>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</si>
  <si>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</si>
  <si>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</si>
  <si>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</si>
  <si>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</si>
  <si>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</si>
  <si>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</si>
  <si>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</si>
  <si>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</si>
  <si>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Cơ cấu (%)</t>
  </si>
  <si>
    <t>Đất giao thông</t>
  </si>
  <si>
    <t>Đất cơ sở văn hóa</t>
  </si>
  <si>
    <t>Đất cơ sở y tế</t>
  </si>
  <si>
    <t>Đất cơ sở giáo dục - đào tạo</t>
  </si>
  <si>
    <t>Đất cơ sở thể dục - thể thao</t>
  </si>
  <si>
    <t>Đất công trình bưu chính viễn thông</t>
  </si>
  <si>
    <t>Đất xây dựng kho dự trữ quốc gia</t>
  </si>
  <si>
    <t>Đất cơ sở dịch vụ về xã hội</t>
  </si>
  <si>
    <t>Đất chợ</t>
  </si>
  <si>
    <t>II</t>
  </si>
  <si>
    <t>Đất đô thị</t>
  </si>
  <si>
    <t>Khu du lịch</t>
  </si>
  <si>
    <t>Khu phát triển công nghiệp (khu công nghiệp, cụm công nghiệp)</t>
  </si>
  <si>
    <t>Khu đô thị (trong đó có khu đô thị mới)</t>
  </si>
  <si>
    <t>Khu thương mại dịch vụ</t>
  </si>
  <si>
    <t>Khu đô thị - thương mại - dịch vụ</t>
  </si>
  <si>
    <t>Khu dân cư nông thôn</t>
  </si>
  <si>
    <t>Khu ở, làng nghề, sản xuất phi nông nghiệp, nông thôn</t>
  </si>
  <si>
    <t>HUYỆN PHÙ YÊN - TỈNH SƠN LA</t>
  </si>
  <si>
    <t>Đất khu công nghệ cao</t>
  </si>
  <si>
    <t>Đất khu kinh tế</t>
  </si>
  <si>
    <t>Khu bảo tồn thiên nhiên và đa dạng sinh học</t>
  </si>
  <si>
    <t>Thị trấn Phù Yên</t>
  </si>
  <si>
    <t>III</t>
  </si>
  <si>
    <t>IV</t>
  </si>
  <si>
    <t>Biểu 11/CH</t>
  </si>
  <si>
    <t>DIỆN TÍCH, CƠ CẤU SỬ DỤNG ĐẤT CÁC KHU CHỨC NĂNG</t>
  </si>
  <si>
    <t>Loại đất</t>
  </si>
  <si>
    <t>Khu sản xuất nông nghiệp (khu vực chuyên trồng lúa nước, khu vực chuyên trồng cây công nghiệp lâu năm)</t>
  </si>
  <si>
    <t>Khu lâm nghiệp (khu vực rừng phòng hộ, rừng đặc dụng, rừng sản xuất)</t>
  </si>
  <si>
    <t>Diện tích (ha)</t>
  </si>
  <si>
    <t xml:space="preserve"> - Đất xây dựng kho dự trữ quốc gia</t>
  </si>
  <si>
    <t xml:space="preserve"> - Đất có di tích lịch sử - văn hóa</t>
  </si>
  <si>
    <t xml:space="preserve"> - Đất bãi thải, xử lý chất thải</t>
  </si>
  <si>
    <t xml:space="preserve"> - Đất cơ sở tôn giáo</t>
  </si>
  <si>
    <t xml:space="preserve"> - Đất làm nghĩa trang, nghĩa địa, nhà tang lễ, nhà hỏa táng</t>
  </si>
  <si>
    <t>Danh mục công trình</t>
  </si>
  <si>
    <t>Xã</t>
  </si>
  <si>
    <t>Loại đất quy hoạch</t>
  </si>
  <si>
    <t>Sử dụng vào loại đất hiện trạng</t>
  </si>
  <si>
    <t>Năm thực hiện</t>
  </si>
  <si>
    <t>LÊy vµo c¸c lo¹i ®Êt</t>
  </si>
  <si>
    <t>Đất chuyên trồng lúa</t>
  </si>
  <si>
    <t>Đất trồng lúa còn lại</t>
  </si>
  <si>
    <t>Đất có rừng phòng hộ là rừng tự nhiên</t>
  </si>
  <si>
    <t>Đất có rừng phòng hộ là rừng trồng</t>
  </si>
  <si>
    <t>Đất sản xuất vật liệu xây dựng, làm đồ góma</t>
  </si>
  <si>
    <t>Đất thuỷ lợi</t>
  </si>
  <si>
    <t>Đất công trình N.lượng</t>
  </si>
  <si>
    <t>Đất di tích lịch sử văn hoá</t>
  </si>
  <si>
    <t>Đất cơ sở tôn giao</t>
  </si>
  <si>
    <t>Đất xây dựng cơ sở khoa học công nghệ</t>
  </si>
  <si>
    <t>ĐCQH</t>
  </si>
  <si>
    <t>Xã đăng ký</t>
  </si>
  <si>
    <t xml:space="preserve">CLN </t>
  </si>
  <si>
    <t xml:space="preserve">TSC </t>
  </si>
  <si>
    <t>Gia Phù</t>
  </si>
  <si>
    <t xml:space="preserve">LUC </t>
  </si>
  <si>
    <t xml:space="preserve">DGD </t>
  </si>
  <si>
    <t>KH 2021</t>
  </si>
  <si>
    <t>Huy Bắc</t>
  </si>
  <si>
    <t>Khu Đô thị bản Phố Huy Bắc</t>
  </si>
  <si>
    <t>Khu Đô thị Tây Phù Yên - Xã Huy Bắc</t>
  </si>
  <si>
    <t>Đấu giá đất ở đô thị Đống Đa - Xã Huy Bắc</t>
  </si>
  <si>
    <t>V</t>
  </si>
  <si>
    <t>Huy Hạ</t>
  </si>
  <si>
    <t>Đấu giá đất lớp học cũ bản Bó - Xã Huy Hạ</t>
  </si>
  <si>
    <t>Đấu giá đất ở Khu Đồng Me giáp khách sạn Linh Hương và Công ty Xuân Thiện - Xã Huy Bắc</t>
  </si>
  <si>
    <t>XD khu dân cư ĐT mới Huy Hạ - Xã Huy Hạ</t>
  </si>
  <si>
    <t>Đất ở đấu giá trong khu đô thị Đống Đa - Xã Huy Hạ</t>
  </si>
  <si>
    <t>LUC SON</t>
  </si>
  <si>
    <t>Mở rộng đât ở khu đô thị 02/9 (các lô còn lại) - Xã Huy Hạ</t>
  </si>
  <si>
    <t>VI</t>
  </si>
  <si>
    <t>VII</t>
  </si>
  <si>
    <t>Xã Huy Thuợng</t>
  </si>
  <si>
    <t>Huy Thượng</t>
  </si>
  <si>
    <t>VIII</t>
  </si>
  <si>
    <t>IX</t>
  </si>
  <si>
    <t xml:space="preserve">DVH </t>
  </si>
  <si>
    <t>X</t>
  </si>
  <si>
    <t>Mường Cơi</t>
  </si>
  <si>
    <t xml:space="preserve">DGT </t>
  </si>
  <si>
    <t>Đất giá đất ở (Trụ sở UBND xã Mường Cơi cũ và 1 số lô đất diện UB xã cũ) - Xã Mường Cơi</t>
  </si>
  <si>
    <t>TSC CLN</t>
  </si>
  <si>
    <t xml:space="preserve">SKC </t>
  </si>
  <si>
    <t>Mường Thải</t>
  </si>
  <si>
    <t>Đấu giá đất nhà văn hoá cũ bản Văn Phúc Yên sang đất ở nông thôn - Xã Mường Thải</t>
  </si>
  <si>
    <t>Quang Huy</t>
  </si>
  <si>
    <t>Đất ở đô thị, khu đồ thị mới Phù Hoa - Xã Quang Huy</t>
  </si>
  <si>
    <t>LUC NHK NTS</t>
  </si>
  <si>
    <t>Đấu giá đất ở khu đô thị 18/10</t>
  </si>
  <si>
    <t>Đất ở đô thị, khu Đô thị Đông Phù Yên - Xã Quang Huy</t>
  </si>
  <si>
    <t xml:space="preserve"> Xã Tân Lang</t>
  </si>
  <si>
    <t>Tân Lang</t>
  </si>
  <si>
    <t>Thị trấn</t>
  </si>
  <si>
    <t>Đấu giá đất trụ sở Công an cũ (trung tâm thương mại dịch vụ) - TT Phù Yên</t>
  </si>
  <si>
    <t xml:space="preserve">CAN </t>
  </si>
  <si>
    <t>Đất cơ sở sản xuất kinh doanh (Đấu giá đất Rạp chiếu phim cũ)</t>
  </si>
  <si>
    <t>Đấu giá đất ở đô thị khu đất Chi cục thuế huyện Phù Yên cũ</t>
  </si>
  <si>
    <t>Đấu giá đất ở đô thị Viện kiểm sát Phù Yên cũ</t>
  </si>
  <si>
    <t>Đấu giá đất nhà khách UBND huyện sang đất ở đô thị</t>
  </si>
  <si>
    <t>Tường Phù</t>
  </si>
  <si>
    <t>Đấu giá đất ở điểm trường học cũ tại bản Bùa Chung 3 xã Tường Phù</t>
  </si>
  <si>
    <t>Tường Thượng</t>
  </si>
  <si>
    <t>2021-2030</t>
  </si>
  <si>
    <t>Ghi chú (nguồn khai thác thông tin)</t>
  </si>
  <si>
    <t>Đất đấu giá sau trường Mầm non Gia Phù, bản Lá - Xã Gia Phù</t>
  </si>
  <si>
    <t>Đấu giá đất Trạm y tế cũ, bản Úm 2 - Xã Huy Thượng</t>
  </si>
  <si>
    <t>Đấu giá đất nhà văn hoá cũ bản Khẻn Tiên sang đất ở nông thôn - Xã Tân Lang</t>
  </si>
  <si>
    <t>Đấu giá đất nhà lớp học cũ bản Vường sang đất ở nông thôn - Xã Tân Lang</t>
  </si>
  <si>
    <t>Đấu giá đất Công đồng bản bản Vường sang đất ở nông thôn - Xã Tân Lang</t>
  </si>
  <si>
    <t>DANH MỤC ĐẤT ĐẤU GIÁ DỰ KIẾN THỰC HIỆN TRONG KỲ QUY HOẠCH ĐẾN NĂM 2030</t>
  </si>
  <si>
    <t>Đấu giá đất trường Dân tộc nội trú cũ - Xã Huy Thượng</t>
  </si>
  <si>
    <t>Đấu giá đất Dịch vụ Xã hội sang đất ở nông thôn - Xã Mường Thải</t>
  </si>
  <si>
    <t>Đất đấu giá lớp học Mầm non cũ của bản Lá - Xã Gia Phù</t>
  </si>
  <si>
    <t>Đất đấu giá lớp học Mầm non cũ của bản Tạo - Xã Gia Phù</t>
  </si>
  <si>
    <t>Đấu giá đất đất Bến xe cũ - Thị trấn Phù Yên</t>
  </si>
  <si>
    <t>Đấu giá đất nhà văn hóa bản Khoa 3 cũ sang Đất ở nông thôn - Xã Tường Thượng</t>
  </si>
  <si>
    <t>Đấu giá đất nhà văn hóa bản Chăn cũ sang Đất ở nông thôn - Xã Tường Thượng</t>
  </si>
  <si>
    <t>Đấu giá đất lớp học mầm non bản Thon cũ sang Đất ở nông thôn - Xã Tường Thượng</t>
  </si>
  <si>
    <t>Đấu giá đất nhà văn hóa bản Cha cũ sang Đất ở nông thôn - Xã Tường Thượng</t>
  </si>
  <si>
    <t>Đấu giá đất lớp học mầm non bản Đồng La cũ sang Đất ở nông thôn - Xã Tường Thượng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</si>
</sst>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5" formatCode="_(* #,##0.00_);_(* \(#,##0.00\);_(* &quot;-&quot;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4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7"/>
      <name val="Times New Roman"/>
      <family val="1"/>
    </font>
    <font>
      <i/>
      <sz val="9"/>
      <color rgb="FF00B050"/>
      <name val="Times New Roman"/>
      <family val="1"/>
    </font>
    <font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1"/>
      <color theme="1"/>
      <name val="Calibri"/>
      <family val="2"/>
    </font>
    <font>
      <sz val="10"/>
      <name val="Arial"/>
      <family val="2"/>
    </font>
    <font>
      <b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165" fontId="30" fillId="0" borderId="0" applyFont="0" applyFill="0" applyBorder="0" applyAlignment="0" applyProtection="0"/>
    <xf numFmtId="0" fontId="30" fillId="0" borderId="0"/>
    <xf numFmtId="0" fontId="33" fillId="0" borderId="0"/>
    <xf numFmtId="0" fontId="2" fillId="0" borderId="0"/>
    <xf numFmtId="0" fontId="34" fillId="0" borderId="0"/>
    <xf numFmtId="0" fontId="30" fillId="0" borderId="0"/>
  </cellStyleXfs>
  <cellXfs count="26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right" vertical="center" wrapText="1"/>
    </xf>
    <xf numFmtId="165" fontId="11" fillId="0" borderId="9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43" fontId="13" fillId="0" borderId="8" xfId="0" applyNumberFormat="1" applyFont="1" applyFill="1" applyBorder="1" applyAlignment="1">
      <alignment horizontal="left" vertical="center" wrapText="1"/>
    </xf>
    <xf numFmtId="43" fontId="13" fillId="0" borderId="8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10" fillId="0" borderId="8" xfId="0" applyNumberFormat="1" applyFont="1" applyFill="1" applyBorder="1" applyAlignment="1">
      <alignment horizontal="left" vertical="center" wrapText="1"/>
    </xf>
    <xf numFmtId="43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2" fontId="13" fillId="2" borderId="8" xfId="0" applyNumberFormat="1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165" fontId="10" fillId="3" borderId="8" xfId="0" applyNumberFormat="1" applyFont="1" applyFill="1" applyBorder="1" applyAlignment="1">
      <alignment horizontal="center" vertical="center" wrapText="1"/>
    </xf>
    <xf numFmtId="165" fontId="14" fillId="3" borderId="8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right" vertical="center" wrapText="1"/>
    </xf>
    <xf numFmtId="165" fontId="14" fillId="2" borderId="8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justify" vertical="center" wrapText="1"/>
    </xf>
    <xf numFmtId="165" fontId="10" fillId="0" borderId="8" xfId="0" applyNumberFormat="1" applyFont="1" applyFill="1" applyBorder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 wrapText="1"/>
    </xf>
    <xf numFmtId="165" fontId="17" fillId="0" borderId="8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justify" vertical="center" wrapText="1"/>
    </xf>
    <xf numFmtId="43" fontId="9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49" fontId="21" fillId="0" borderId="2" xfId="2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right" vertical="center" wrapText="1"/>
    </xf>
    <xf numFmtId="165" fontId="14" fillId="3" borderId="8" xfId="1" applyNumberFormat="1" applyFont="1" applyFill="1" applyBorder="1" applyAlignment="1">
      <alignment horizontal="right" vertical="center"/>
    </xf>
    <xf numFmtId="165" fontId="14" fillId="0" borderId="8" xfId="1" applyNumberFormat="1" applyFont="1" applyFill="1" applyBorder="1" applyAlignment="1">
      <alignment horizontal="right" vertical="center"/>
    </xf>
    <xf numFmtId="165" fontId="14" fillId="0" borderId="8" xfId="0" applyNumberFormat="1" applyFont="1" applyFill="1" applyBorder="1" applyAlignment="1">
      <alignment horizontal="right" vertical="center" wrapText="1"/>
    </xf>
    <xf numFmtId="165" fontId="22" fillId="0" borderId="8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right" vertical="center" wrapText="1"/>
    </xf>
    <xf numFmtId="165" fontId="10" fillId="0" borderId="8" xfId="1" applyNumberFormat="1" applyFont="1" applyFill="1" applyBorder="1" applyAlignment="1">
      <alignment horizontal="right" vertical="center"/>
    </xf>
    <xf numFmtId="165" fontId="16" fillId="0" borderId="8" xfId="0" applyNumberFormat="1" applyFont="1" applyFill="1" applyBorder="1" applyAlignment="1">
      <alignment horizontal="right" vertical="center"/>
    </xf>
    <xf numFmtId="165" fontId="23" fillId="0" borderId="8" xfId="1" applyNumberFormat="1" applyFont="1" applyFill="1" applyBorder="1" applyAlignment="1">
      <alignment horizontal="right" vertical="center"/>
    </xf>
    <xf numFmtId="165" fontId="23" fillId="0" borderId="8" xfId="0" applyNumberFormat="1" applyFont="1" applyFill="1" applyBorder="1" applyAlignment="1">
      <alignment horizontal="right" vertical="center" wrapText="1"/>
    </xf>
    <xf numFmtId="165" fontId="16" fillId="0" borderId="8" xfId="0" applyNumberFormat="1" applyFont="1" applyFill="1" applyBorder="1" applyAlignment="1">
      <alignment horizontal="right" vertical="center" wrapText="1"/>
    </xf>
    <xf numFmtId="165" fontId="14" fillId="2" borderId="8" xfId="0" applyNumberFormat="1" applyFont="1" applyFill="1" applyBorder="1" applyAlignment="1">
      <alignment horizontal="right" vertical="center"/>
    </xf>
    <xf numFmtId="165" fontId="10" fillId="2" borderId="8" xfId="0" applyNumberFormat="1" applyFont="1" applyFill="1" applyBorder="1" applyAlignment="1">
      <alignment horizontal="right" vertical="center"/>
    </xf>
    <xf numFmtId="165" fontId="16" fillId="2" borderId="8" xfId="0" applyNumberFormat="1" applyFont="1" applyFill="1" applyBorder="1" applyAlignment="1">
      <alignment horizontal="right" vertical="center"/>
    </xf>
    <xf numFmtId="165" fontId="22" fillId="2" borderId="8" xfId="0" applyNumberFormat="1" applyFont="1" applyFill="1" applyBorder="1" applyAlignment="1">
      <alignment horizontal="right" vertical="center" wrapText="1"/>
    </xf>
    <xf numFmtId="165" fontId="22" fillId="2" borderId="9" xfId="0" applyNumberFormat="1" applyFont="1" applyFill="1" applyBorder="1" applyAlignment="1">
      <alignment horizontal="right" vertical="center" wrapText="1"/>
    </xf>
    <xf numFmtId="165" fontId="14" fillId="2" borderId="9" xfId="0" applyNumberFormat="1" applyFont="1" applyFill="1" applyBorder="1" applyAlignment="1">
      <alignment horizontal="right" vertical="center" wrapText="1"/>
    </xf>
    <xf numFmtId="165" fontId="14" fillId="2" borderId="9" xfId="0" applyNumberFormat="1" applyFont="1" applyFill="1" applyBorder="1" applyAlignment="1">
      <alignment horizontal="right" vertical="center"/>
    </xf>
    <xf numFmtId="165" fontId="22" fillId="2" borderId="8" xfId="0" applyNumberFormat="1" applyFont="1" applyFill="1" applyBorder="1" applyAlignment="1">
      <alignment horizontal="right" vertical="center"/>
    </xf>
    <xf numFmtId="165" fontId="17" fillId="2" borderId="8" xfId="0" applyNumberFormat="1" applyFont="1" applyFill="1" applyBorder="1" applyAlignment="1">
      <alignment horizontal="right" vertical="center"/>
    </xf>
    <xf numFmtId="165" fontId="10" fillId="3" borderId="8" xfId="0" applyNumberFormat="1" applyFont="1" applyFill="1" applyBorder="1" applyAlignment="1">
      <alignment horizontal="right" vertical="center" wrapText="1"/>
    </xf>
    <xf numFmtId="165" fontId="14" fillId="3" borderId="9" xfId="0" applyNumberFormat="1" applyFont="1" applyFill="1" applyBorder="1" applyAlignment="1">
      <alignment horizontal="right" vertical="center" wrapText="1"/>
    </xf>
    <xf numFmtId="165" fontId="10" fillId="2" borderId="9" xfId="0" applyNumberFormat="1" applyFont="1" applyFill="1" applyBorder="1" applyAlignment="1">
      <alignment horizontal="right" vertical="center"/>
    </xf>
    <xf numFmtId="165" fontId="10" fillId="2" borderId="9" xfId="0" applyNumberFormat="1" applyFont="1" applyFill="1" applyBorder="1" applyAlignment="1">
      <alignment horizontal="right" vertical="center" wrapText="1"/>
    </xf>
    <xf numFmtId="165" fontId="23" fillId="2" borderId="8" xfId="0" applyNumberFormat="1" applyFont="1" applyFill="1" applyBorder="1" applyAlignment="1">
      <alignment horizontal="right" vertical="center" wrapText="1"/>
    </xf>
    <xf numFmtId="2" fontId="13" fillId="0" borderId="8" xfId="0" applyNumberFormat="1" applyFont="1" applyFill="1" applyBorder="1" applyAlignment="1">
      <alignment horizontal="justify" vertical="center" wrapText="1"/>
    </xf>
    <xf numFmtId="165" fontId="22" fillId="0" borderId="8" xfId="1" applyNumberFormat="1" applyFont="1" applyFill="1" applyBorder="1" applyAlignment="1">
      <alignment horizontal="right" vertical="center"/>
    </xf>
    <xf numFmtId="165" fontId="14" fillId="0" borderId="8" xfId="0" applyNumberFormat="1" applyFont="1" applyFill="1" applyBorder="1" applyAlignment="1">
      <alignment horizontal="right" vertical="center"/>
    </xf>
    <xf numFmtId="165" fontId="22" fillId="0" borderId="9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right" vertical="center"/>
    </xf>
    <xf numFmtId="2" fontId="13" fillId="0" borderId="8" xfId="0" quotePrefix="1" applyNumberFormat="1" applyFont="1" applyFill="1" applyBorder="1" applyAlignment="1">
      <alignment horizontal="justify" vertical="center" wrapText="1"/>
    </xf>
    <xf numFmtId="43" fontId="9" fillId="0" borderId="8" xfId="0" applyNumberFormat="1" applyFont="1" applyFill="1" applyBorder="1" applyAlignment="1">
      <alignment horizontal="center" vertical="center" wrapText="1"/>
    </xf>
    <xf numFmtId="165" fontId="16" fillId="0" borderId="8" xfId="1" applyNumberFormat="1" applyFont="1" applyFill="1" applyBorder="1" applyAlignment="1">
      <alignment horizontal="right" vertical="center"/>
    </xf>
    <xf numFmtId="165" fontId="24" fillId="0" borderId="8" xfId="0" applyNumberFormat="1" applyFont="1" applyFill="1" applyBorder="1" applyAlignment="1">
      <alignment horizontal="right" vertical="center" wrapText="1"/>
    </xf>
    <xf numFmtId="165" fontId="11" fillId="0" borderId="11" xfId="0" applyNumberFormat="1" applyFont="1" applyFill="1" applyBorder="1" applyAlignment="1">
      <alignment horizontal="right" vertical="center" wrapText="1"/>
    </xf>
    <xf numFmtId="165" fontId="10" fillId="0" borderId="12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9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center" wrapText="1"/>
    </xf>
    <xf numFmtId="43" fontId="32" fillId="0" borderId="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/>
    <xf numFmtId="0" fontId="5" fillId="0" borderId="0" xfId="0" applyFont="1" applyFill="1"/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Fill="1" applyBorder="1"/>
    <xf numFmtId="0" fontId="29" fillId="0" borderId="8" xfId="0" applyFont="1" applyFill="1" applyBorder="1" applyAlignment="1">
      <alignment horizontal="center"/>
    </xf>
    <xf numFmtId="0" fontId="29" fillId="0" borderId="24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/>
    </xf>
    <xf numFmtId="0" fontId="31" fillId="0" borderId="8" xfId="0" applyFont="1" applyFill="1" applyBorder="1"/>
    <xf numFmtId="0" fontId="31" fillId="0" borderId="24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24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2" fontId="32" fillId="0" borderId="8" xfId="0" applyNumberFormat="1" applyFont="1" applyFill="1" applyBorder="1" applyAlignment="1">
      <alignment horizontal="justify" vertical="center" wrapText="1"/>
    </xf>
    <xf numFmtId="2" fontId="32" fillId="0" borderId="8" xfId="0" quotePrefix="1" applyNumberFormat="1" applyFont="1" applyFill="1" applyBorder="1" applyAlignment="1">
      <alignment horizontal="justify" vertical="center" wrapText="1"/>
    </xf>
    <xf numFmtId="0" fontId="32" fillId="0" borderId="8" xfId="0" quotePrefix="1" applyFont="1" applyFill="1" applyBorder="1" applyAlignment="1">
      <alignment horizontal="left" vertical="center" wrapText="1"/>
    </xf>
    <xf numFmtId="0" fontId="4" fillId="0" borderId="25" xfId="0" applyFont="1" applyFill="1" applyBorder="1"/>
    <xf numFmtId="0" fontId="4" fillId="0" borderId="26" xfId="0" applyFont="1" applyFill="1" applyBorder="1"/>
    <xf numFmtId="0" fontId="2" fillId="0" borderId="24" xfId="0" applyFont="1" applyFill="1" applyBorder="1"/>
    <xf numFmtId="1" fontId="29" fillId="0" borderId="17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0" xfId="0" applyFont="1" applyFill="1" applyAlignment="1">
      <alignment horizontal="center" vertical="center"/>
    </xf>
    <xf numFmtId="0" fontId="29" fillId="2" borderId="0" xfId="9" applyFont="1" applyFill="1" applyAlignment="1">
      <alignment horizontal="center" vertical="center"/>
    </xf>
    <xf numFmtId="0" fontId="29" fillId="2" borderId="0" xfId="9" applyFont="1" applyFill="1" applyBorder="1" applyAlignment="1">
      <alignment vertical="center" wrapText="1"/>
    </xf>
    <xf numFmtId="0" fontId="29" fillId="2" borderId="0" xfId="9" applyFont="1" applyFill="1" applyBorder="1" applyAlignment="1">
      <alignment horizontal="center" vertical="center"/>
    </xf>
    <xf numFmtId="0" fontId="29" fillId="2" borderId="0" xfId="9" applyNumberFormat="1" applyFont="1" applyFill="1" applyAlignment="1">
      <alignment horizontal="right" vertical="center"/>
    </xf>
    <xf numFmtId="0" fontId="29" fillId="2" borderId="0" xfId="9" applyFont="1" applyFill="1" applyBorder="1" applyAlignment="1">
      <alignment vertical="center"/>
    </xf>
    <xf numFmtId="43" fontId="8" fillId="2" borderId="2" xfId="0" applyNumberFormat="1" applyFont="1" applyFill="1" applyBorder="1" applyAlignment="1">
      <alignment horizontal="center" vertical="center" wrapText="1"/>
    </xf>
    <xf numFmtId="0" fontId="29" fillId="2" borderId="0" xfId="9" applyFont="1" applyFill="1" applyAlignment="1">
      <alignment vertical="center"/>
    </xf>
    <xf numFmtId="0" fontId="5" fillId="2" borderId="0" xfId="9" applyFont="1" applyFill="1" applyAlignment="1">
      <alignment vertical="center"/>
    </xf>
    <xf numFmtId="0" fontId="5" fillId="2" borderId="0" xfId="9" applyNumberFormat="1" applyFont="1" applyFill="1" applyAlignment="1">
      <alignment vertical="center"/>
    </xf>
    <xf numFmtId="0" fontId="4" fillId="2" borderId="0" xfId="9" applyFont="1" applyFill="1" applyBorder="1" applyAlignment="1">
      <alignment horizontal="center" vertical="center" wrapText="1"/>
    </xf>
    <xf numFmtId="0" fontId="29" fillId="2" borderId="0" xfId="9" applyNumberFormat="1" applyFont="1" applyFill="1" applyBorder="1" applyAlignment="1">
      <alignment horizontal="right" vertical="center" wrapText="1"/>
    </xf>
    <xf numFmtId="0" fontId="4" fillId="2" borderId="0" xfId="9" applyFont="1" applyFill="1" applyBorder="1" applyAlignment="1">
      <alignment horizontal="center" vertical="center"/>
    </xf>
    <xf numFmtId="0" fontId="35" fillId="2" borderId="0" xfId="9" applyNumberFormat="1" applyFont="1" applyFill="1" applyBorder="1" applyAlignment="1">
      <alignment horizontal="left" vertical="center" wrapText="1"/>
    </xf>
    <xf numFmtId="43" fontId="8" fillId="2" borderId="2" xfId="9" applyNumberFormat="1" applyFont="1" applyFill="1" applyBorder="1" applyAlignment="1">
      <alignment horizontal="center" vertical="center" wrapText="1"/>
    </xf>
    <xf numFmtId="43" fontId="9" fillId="2" borderId="2" xfId="9" applyNumberFormat="1" applyFont="1" applyFill="1" applyBorder="1" applyAlignment="1">
      <alignment horizontal="center" vertical="center" wrapText="1"/>
    </xf>
    <xf numFmtId="43" fontId="13" fillId="2" borderId="2" xfId="9" applyNumberFormat="1" applyFont="1" applyFill="1" applyBorder="1" applyAlignment="1">
      <alignment horizontal="center" vertical="center" wrapText="1"/>
    </xf>
    <xf numFmtId="0" fontId="9" fillId="2" borderId="2" xfId="9" applyNumberFormat="1" applyFont="1" applyFill="1" applyBorder="1" applyAlignment="1">
      <alignment horizontal="center" vertical="center" wrapText="1"/>
    </xf>
    <xf numFmtId="0" fontId="13" fillId="2" borderId="2" xfId="9" applyNumberFormat="1" applyFont="1" applyFill="1" applyBorder="1" applyAlignment="1">
      <alignment horizontal="center" vertical="center" wrapText="1"/>
    </xf>
    <xf numFmtId="2" fontId="9" fillId="2" borderId="2" xfId="9" applyNumberFormat="1" applyFont="1" applyFill="1" applyBorder="1" applyAlignment="1">
      <alignment horizontal="center" vertical="center" wrapText="1"/>
    </xf>
    <xf numFmtId="2" fontId="13" fillId="2" borderId="2" xfId="9" applyNumberFormat="1" applyFont="1" applyFill="1" applyBorder="1" applyAlignment="1">
      <alignment horizontal="center" vertical="center" wrapText="1"/>
    </xf>
    <xf numFmtId="2" fontId="8" fillId="2" borderId="2" xfId="9" applyNumberFormat="1" applyFont="1" applyFill="1" applyBorder="1" applyAlignment="1">
      <alignment horizontal="center" vertical="center" wrapText="1"/>
    </xf>
    <xf numFmtId="4" fontId="9" fillId="2" borderId="2" xfId="9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vertical="center"/>
    </xf>
    <xf numFmtId="49" fontId="29" fillId="2" borderId="2" xfId="0" applyNumberFormat="1" applyFont="1" applyFill="1" applyBorder="1" applyAlignment="1">
      <alignment horizontal="center" vertical="center"/>
    </xf>
    <xf numFmtId="43" fontId="29" fillId="2" borderId="2" xfId="0" applyNumberFormat="1" applyFont="1" applyFill="1" applyBorder="1" applyAlignment="1">
      <alignment horizontal="right" vertical="center"/>
    </xf>
    <xf numFmtId="2" fontId="29" fillId="2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43" fontId="10" fillId="2" borderId="29" xfId="0" applyNumberFormat="1" applyFont="1" applyFill="1" applyBorder="1" applyAlignment="1">
      <alignment horizontal="right" vertical="center"/>
    </xf>
    <xf numFmtId="43" fontId="10" fillId="2" borderId="29" xfId="0" applyNumberFormat="1" applyFont="1" applyFill="1" applyBorder="1" applyAlignment="1">
      <alignment horizontal="center" vertical="center"/>
    </xf>
    <xf numFmtId="43" fontId="10" fillId="2" borderId="29" xfId="0" applyNumberFormat="1" applyFont="1" applyFill="1" applyBorder="1" applyAlignment="1">
      <alignment vertical="center" wrapText="1"/>
    </xf>
    <xf numFmtId="43" fontId="10" fillId="2" borderId="29" xfId="0" applyNumberFormat="1" applyFont="1" applyFill="1" applyBorder="1" applyAlignment="1">
      <alignment horizontal="center" vertical="center" wrapText="1"/>
    </xf>
    <xf numFmtId="43" fontId="10" fillId="2" borderId="30" xfId="0" applyNumberFormat="1" applyFont="1" applyFill="1" applyBorder="1" applyAlignment="1">
      <alignment horizontal="center" vertical="center" wrapText="1"/>
    </xf>
    <xf numFmtId="43" fontId="10" fillId="2" borderId="30" xfId="0" applyNumberFormat="1" applyFont="1" applyFill="1" applyBorder="1" applyAlignment="1">
      <alignment horizontal="center" vertical="center"/>
    </xf>
    <xf numFmtId="0" fontId="10" fillId="2" borderId="30" xfId="0" applyFont="1" applyFill="1" applyBorder="1"/>
    <xf numFmtId="49" fontId="29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43" fontId="10" fillId="2" borderId="31" xfId="0" applyNumberFormat="1" applyFont="1" applyFill="1" applyBorder="1" applyAlignment="1">
      <alignment horizontal="center" vertical="center"/>
    </xf>
    <xf numFmtId="43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2" fontId="29" fillId="2" borderId="2" xfId="0" applyNumberFormat="1" applyFont="1" applyFill="1" applyBorder="1" applyAlignment="1">
      <alignment horizontal="right" vertical="center"/>
    </xf>
    <xf numFmtId="2" fontId="11" fillId="2" borderId="29" xfId="0" applyNumberFormat="1" applyFont="1" applyFill="1" applyBorder="1" applyAlignment="1">
      <alignment horizontal="right" vertical="center"/>
    </xf>
    <xf numFmtId="2" fontId="11" fillId="2" borderId="29" xfId="0" applyNumberFormat="1" applyFont="1" applyFill="1" applyBorder="1" applyAlignment="1">
      <alignment horizontal="center" vertical="center"/>
    </xf>
    <xf numFmtId="2" fontId="10" fillId="2" borderId="29" xfId="0" applyNumberFormat="1" applyFont="1" applyFill="1" applyBorder="1" applyAlignment="1">
      <alignment horizontal="right" vertical="center"/>
    </xf>
    <xf numFmtId="43" fontId="10" fillId="2" borderId="29" xfId="0" applyNumberFormat="1" applyFont="1" applyFill="1" applyBorder="1" applyAlignment="1">
      <alignment horizontal="right" vertical="center" wrapText="1"/>
    </xf>
    <xf numFmtId="43" fontId="10" fillId="2" borderId="31" xfId="0" applyNumberFormat="1" applyFont="1" applyFill="1" applyBorder="1" applyAlignment="1">
      <alignment horizontal="center" vertical="center" wrapText="1"/>
    </xf>
    <xf numFmtId="43" fontId="10" fillId="2" borderId="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3" fontId="4" fillId="2" borderId="2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43" fontId="11" fillId="2" borderId="29" xfId="0" applyNumberFormat="1" applyFont="1" applyFill="1" applyBorder="1" applyAlignment="1">
      <alignment horizontal="right" vertical="center"/>
    </xf>
    <xf numFmtId="43" fontId="11" fillId="2" borderId="29" xfId="0" applyNumberFormat="1" applyFont="1" applyFill="1" applyBorder="1" applyAlignment="1">
      <alignment horizontal="center" vertical="center"/>
    </xf>
    <xf numFmtId="0" fontId="11" fillId="2" borderId="30" xfId="0" applyFont="1" applyFill="1" applyBorder="1"/>
    <xf numFmtId="0" fontId="4" fillId="2" borderId="0" xfId="0" applyFont="1" applyFill="1" applyAlignment="1">
      <alignment vertical="center"/>
    </xf>
    <xf numFmtId="43" fontId="11" fillId="2" borderId="30" xfId="0" applyNumberFormat="1" applyFont="1" applyFill="1" applyBorder="1" applyAlignment="1">
      <alignment horizontal="center" vertical="center"/>
    </xf>
    <xf numFmtId="2" fontId="11" fillId="2" borderId="30" xfId="0" applyNumberFormat="1" applyFont="1" applyFill="1" applyBorder="1" applyAlignment="1">
      <alignment horizontal="center" vertical="center"/>
    </xf>
    <xf numFmtId="43" fontId="29" fillId="2" borderId="2" xfId="0" applyNumberFormat="1" applyFont="1" applyFill="1" applyBorder="1" applyAlignment="1">
      <alignment horizontal="right" vertical="center" wrapText="1"/>
    </xf>
    <xf numFmtId="43" fontId="11" fillId="2" borderId="29" xfId="0" applyNumberFormat="1" applyFont="1" applyFill="1" applyBorder="1" applyAlignment="1">
      <alignment vertical="center" wrapText="1"/>
    </xf>
    <xf numFmtId="43" fontId="11" fillId="2" borderId="29" xfId="0" applyNumberFormat="1" applyFont="1" applyFill="1" applyBorder="1" applyAlignment="1">
      <alignment horizontal="center" vertical="center" wrapText="1"/>
    </xf>
    <xf numFmtId="43" fontId="11" fillId="2" borderId="31" xfId="0" applyNumberFormat="1" applyFont="1" applyFill="1" applyBorder="1" applyAlignment="1">
      <alignment horizontal="center" vertical="center" wrapText="1"/>
    </xf>
    <xf numFmtId="43" fontId="11" fillId="2" borderId="0" xfId="0" applyNumberFormat="1" applyFont="1" applyFill="1" applyBorder="1" applyAlignment="1">
      <alignment horizontal="center" vertical="center" wrapText="1"/>
    </xf>
    <xf numFmtId="43" fontId="11" fillId="2" borderId="29" xfId="0" applyNumberFormat="1" applyFont="1" applyFill="1" applyBorder="1" applyAlignment="1">
      <alignment horizontal="right" vertical="center" wrapText="1"/>
    </xf>
    <xf numFmtId="43" fontId="11" fillId="2" borderId="30" xfId="0" applyNumberFormat="1" applyFont="1" applyFill="1" applyBorder="1" applyAlignment="1">
      <alignment horizontal="center" vertical="center" wrapText="1"/>
    </xf>
    <xf numFmtId="0" fontId="29" fillId="2" borderId="0" xfId="9" applyNumberFormat="1" applyFont="1" applyFill="1" applyAlignment="1">
      <alignment vertical="center"/>
    </xf>
    <xf numFmtId="0" fontId="29" fillId="2" borderId="0" xfId="9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29" fillId="3" borderId="2" xfId="0" applyNumberFormat="1" applyFont="1" applyFill="1" applyBorder="1" applyAlignment="1">
      <alignment horizontal="right" vertical="center"/>
    </xf>
    <xf numFmtId="0" fontId="11" fillId="4" borderId="2" xfId="9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NumberFormat="1" applyFont="1" applyFill="1" applyBorder="1" applyAlignment="1">
      <alignment horizontal="center" vertical="center" wrapText="1"/>
    </xf>
    <xf numFmtId="0" fontId="5" fillId="2" borderId="0" xfId="9" applyFont="1" applyFill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4" fillId="2" borderId="2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</cellXfs>
  <cellStyles count="10">
    <cellStyle name="Comma" xfId="1" builtinId="3"/>
    <cellStyle name="Comma 2" xfId="4"/>
    <cellStyle name="Normal" xfId="0" builtinId="0"/>
    <cellStyle name="Normal 10" xfId="7"/>
    <cellStyle name="Normal 2" xfId="9"/>
    <cellStyle name="Normal 2 8" xfId="6"/>
    <cellStyle name="Normal 36" xfId="8"/>
    <cellStyle name="Normal 7" xfId="5"/>
    <cellStyle name="Normal_BBieu-Theo Vung DA B.Cang" xfId="3"/>
    <cellStyle name="Normal_bieuDH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92"/>
  <sheetViews>
    <sheetView workbookViewId="0">
      <pane xSplit="4" ySplit="8" topLeftCell="E15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8.85546875" defaultRowHeight="15" customHeight="1" x14ac:dyDescent="0.25"/>
  <cols>
    <col min="1" max="1" width="6.42578125" style="1" customWidth="1"/>
    <col min="2" max="2" width="31.85546875" style="4" customWidth="1"/>
    <col min="3" max="3" width="7.28515625" style="1" customWidth="1"/>
    <col min="4" max="4" width="11.42578125" style="1" customWidth="1"/>
    <col min="5" max="5" width="8.85546875" style="1" customWidth="1"/>
    <col min="6" max="7" width="8.85546875" style="1" hidden="1" customWidth="1"/>
    <col min="8" max="34" width="10" style="4" customWidth="1"/>
    <col min="35" max="16384" width="8.85546875" style="4"/>
  </cols>
  <sheetData>
    <row r="1" spans="1:34" ht="15" customHeight="1" x14ac:dyDescent="0.25">
      <c r="B1" s="2">
        <f>D18-E1</f>
        <v>78.018099999999777</v>
      </c>
      <c r="D1" s="3"/>
      <c r="E1" s="73">
        <f>2665+311</f>
        <v>2976</v>
      </c>
      <c r="V1" s="5"/>
      <c r="W1" s="5"/>
      <c r="X1" s="5"/>
      <c r="Y1" s="5"/>
      <c r="Z1" s="5"/>
      <c r="AA1" s="74"/>
      <c r="AB1" s="5"/>
      <c r="AC1" s="5"/>
      <c r="AD1" s="5"/>
      <c r="AE1" s="5"/>
      <c r="AF1" s="5"/>
      <c r="AG1" s="5"/>
      <c r="AH1" s="5"/>
    </row>
    <row r="2" spans="1:34" ht="15" customHeight="1" x14ac:dyDescent="0.25">
      <c r="A2" s="237" t="s">
        <v>197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4" ht="15" customHeight="1" x14ac:dyDescent="0.25">
      <c r="A3" s="6"/>
      <c r="B3" s="75"/>
      <c r="C3" s="6"/>
      <c r="D3" s="75"/>
      <c r="E3" s="6"/>
      <c r="F3" s="6"/>
      <c r="G3" s="6"/>
      <c r="H3" s="76">
        <v>6895.2800000000007</v>
      </c>
      <c r="I3" s="76">
        <v>6528.5599999999995</v>
      </c>
      <c r="J3" s="76">
        <v>6073.6500000000005</v>
      </c>
      <c r="K3" s="76">
        <v>5338.63</v>
      </c>
      <c r="L3" s="76">
        <v>12552.74</v>
      </c>
      <c r="M3" s="76">
        <v>9123.2099999999991</v>
      </c>
      <c r="N3" s="76">
        <v>105.41000000000001</v>
      </c>
      <c r="O3" s="76">
        <v>2363.1223</v>
      </c>
      <c r="P3" s="76">
        <v>2583.75</v>
      </c>
      <c r="Q3" s="76">
        <v>2252.1999999999998</v>
      </c>
      <c r="R3" s="76">
        <v>1513.6100000000001</v>
      </c>
      <c r="S3" s="76">
        <v>2075.35</v>
      </c>
      <c r="T3" s="76">
        <v>4560.7700000000004</v>
      </c>
      <c r="U3" s="76">
        <v>1456.23</v>
      </c>
      <c r="V3" s="76">
        <v>2763.88</v>
      </c>
      <c r="W3" s="76">
        <v>1884.0400000000002</v>
      </c>
      <c r="X3" s="76">
        <v>1855.7</v>
      </c>
      <c r="Y3" s="76">
        <v>3087.63</v>
      </c>
      <c r="Z3" s="76">
        <v>2644.19</v>
      </c>
      <c r="AA3" s="76">
        <v>4678.1399999999994</v>
      </c>
      <c r="AB3" s="76">
        <v>3546.4700000000003</v>
      </c>
      <c r="AC3" s="76">
        <v>5256.9000000000005</v>
      </c>
      <c r="AD3" s="76">
        <v>4093.6900000000005</v>
      </c>
      <c r="AE3" s="76">
        <v>5905.1500000000005</v>
      </c>
      <c r="AF3" s="76">
        <v>14093.36</v>
      </c>
      <c r="AG3" s="76">
        <v>4268.47</v>
      </c>
      <c r="AH3" s="76">
        <v>5772.74</v>
      </c>
    </row>
    <row r="4" spans="1:34" ht="15" customHeight="1" x14ac:dyDescent="0.25">
      <c r="A4" s="6"/>
      <c r="B4" s="75"/>
      <c r="C4" s="6"/>
      <c r="D4" s="75"/>
      <c r="E4" s="6"/>
      <c r="F4" s="6"/>
      <c r="G4" s="6"/>
      <c r="H4" s="75">
        <f>H3-H9</f>
        <v>0</v>
      </c>
      <c r="I4" s="75">
        <f t="shared" ref="I4:AH4" si="0">I3-I9</f>
        <v>0</v>
      </c>
      <c r="J4" s="75">
        <f t="shared" si="0"/>
        <v>0</v>
      </c>
      <c r="K4" s="75">
        <f t="shared" si="0"/>
        <v>0</v>
      </c>
      <c r="L4" s="75">
        <f t="shared" si="0"/>
        <v>0</v>
      </c>
      <c r="M4" s="75">
        <f t="shared" si="0"/>
        <v>0</v>
      </c>
      <c r="N4" s="75">
        <f t="shared" si="0"/>
        <v>0</v>
      </c>
      <c r="O4" s="75">
        <f t="shared" si="0"/>
        <v>0</v>
      </c>
      <c r="P4" s="75">
        <f t="shared" si="0"/>
        <v>0</v>
      </c>
      <c r="Q4" s="75">
        <f t="shared" si="0"/>
        <v>0</v>
      </c>
      <c r="R4" s="75">
        <f t="shared" si="0"/>
        <v>0</v>
      </c>
      <c r="S4" s="75">
        <f t="shared" si="0"/>
        <v>0</v>
      </c>
      <c r="T4" s="75">
        <f t="shared" si="0"/>
        <v>0</v>
      </c>
      <c r="U4" s="75">
        <f t="shared" si="0"/>
        <v>0</v>
      </c>
      <c r="V4" s="75">
        <f t="shared" si="0"/>
        <v>0</v>
      </c>
      <c r="W4" s="75">
        <f t="shared" si="0"/>
        <v>0</v>
      </c>
      <c r="X4" s="75">
        <f t="shared" si="0"/>
        <v>0</v>
      </c>
      <c r="Y4" s="75">
        <f t="shared" si="0"/>
        <v>0</v>
      </c>
      <c r="Z4" s="75">
        <f t="shared" si="0"/>
        <v>0</v>
      </c>
      <c r="AA4" s="75">
        <f t="shared" si="0"/>
        <v>0</v>
      </c>
      <c r="AB4" s="75">
        <f t="shared" si="0"/>
        <v>0</v>
      </c>
      <c r="AC4" s="75">
        <f t="shared" si="0"/>
        <v>0</v>
      </c>
      <c r="AD4" s="75">
        <f t="shared" si="0"/>
        <v>0</v>
      </c>
      <c r="AE4" s="75">
        <f t="shared" si="0"/>
        <v>0</v>
      </c>
      <c r="AF4" s="75">
        <f t="shared" si="0"/>
        <v>0</v>
      </c>
      <c r="AG4" s="75">
        <f t="shared" si="0"/>
        <v>0</v>
      </c>
      <c r="AH4" s="75">
        <f t="shared" si="0"/>
        <v>0</v>
      </c>
    </row>
    <row r="5" spans="1:34" ht="15" customHeight="1" thickBot="1" x14ac:dyDescent="0.3">
      <c r="A5" s="6"/>
      <c r="B5" s="75"/>
      <c r="C5" s="6"/>
      <c r="D5" s="75"/>
      <c r="E5" s="6"/>
      <c r="F5" s="6"/>
      <c r="G5" s="6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15" customHeight="1" x14ac:dyDescent="0.25">
      <c r="A6" s="238" t="s">
        <v>0</v>
      </c>
      <c r="B6" s="240" t="s">
        <v>1</v>
      </c>
      <c r="C6" s="240" t="s">
        <v>2</v>
      </c>
      <c r="D6" s="243" t="s">
        <v>3</v>
      </c>
      <c r="E6" s="243" t="s">
        <v>4</v>
      </c>
      <c r="F6" s="243" t="s">
        <v>5</v>
      </c>
      <c r="G6" s="77"/>
      <c r="H6" s="247" t="s">
        <v>6</v>
      </c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8"/>
    </row>
    <row r="7" spans="1:34" ht="27" customHeight="1" x14ac:dyDescent="0.25">
      <c r="A7" s="239"/>
      <c r="B7" s="241"/>
      <c r="C7" s="242"/>
      <c r="D7" s="244"/>
      <c r="E7" s="245"/>
      <c r="F7" s="246"/>
      <c r="G7" s="78"/>
      <c r="H7" s="79" t="s">
        <v>7</v>
      </c>
      <c r="I7" s="79" t="s">
        <v>8</v>
      </c>
      <c r="J7" s="79" t="s">
        <v>9</v>
      </c>
      <c r="K7" s="79" t="s">
        <v>10</v>
      </c>
      <c r="L7" s="79" t="s">
        <v>11</v>
      </c>
      <c r="M7" s="79" t="s">
        <v>12</v>
      </c>
      <c r="N7" s="79" t="s">
        <v>13</v>
      </c>
      <c r="O7" s="79" t="s">
        <v>14</v>
      </c>
      <c r="P7" s="79" t="s">
        <v>15</v>
      </c>
      <c r="Q7" s="79" t="s">
        <v>16</v>
      </c>
      <c r="R7" s="79" t="s">
        <v>17</v>
      </c>
      <c r="S7" s="79" t="s">
        <v>18</v>
      </c>
      <c r="T7" s="79" t="s">
        <v>19</v>
      </c>
      <c r="U7" s="79" t="s">
        <v>20</v>
      </c>
      <c r="V7" s="79" t="s">
        <v>21</v>
      </c>
      <c r="W7" s="79" t="s">
        <v>22</v>
      </c>
      <c r="X7" s="79" t="s">
        <v>23</v>
      </c>
      <c r="Y7" s="79" t="s">
        <v>24</v>
      </c>
      <c r="Z7" s="79" t="s">
        <v>25</v>
      </c>
      <c r="AA7" s="79" t="s">
        <v>26</v>
      </c>
      <c r="AB7" s="79" t="s">
        <v>27</v>
      </c>
      <c r="AC7" s="79" t="s">
        <v>28</v>
      </c>
      <c r="AD7" s="79" t="s">
        <v>29</v>
      </c>
      <c r="AE7" s="79" t="s">
        <v>30</v>
      </c>
      <c r="AF7" s="79" t="s">
        <v>31</v>
      </c>
      <c r="AG7" s="79" t="s">
        <v>32</v>
      </c>
      <c r="AH7" s="80" t="s">
        <v>33</v>
      </c>
    </row>
    <row r="8" spans="1:34" s="9" customFormat="1" ht="15" customHeight="1" x14ac:dyDescent="0.25">
      <c r="A8" s="7">
        <v>-1</v>
      </c>
      <c r="B8" s="8">
        <v>-2</v>
      </c>
      <c r="C8" s="8">
        <v>-3</v>
      </c>
      <c r="D8" s="8" t="s">
        <v>198</v>
      </c>
      <c r="E8" s="8"/>
      <c r="F8" s="12"/>
      <c r="G8" s="12"/>
      <c r="H8" s="8">
        <v>-5</v>
      </c>
      <c r="I8" s="8">
        <v>-6</v>
      </c>
      <c r="J8" s="8">
        <v>-7</v>
      </c>
      <c r="K8" s="8">
        <v>-8</v>
      </c>
      <c r="L8" s="8">
        <v>-9</v>
      </c>
      <c r="M8" s="8">
        <v>-10</v>
      </c>
      <c r="N8" s="8">
        <v>-11</v>
      </c>
      <c r="O8" s="8">
        <v>-12</v>
      </c>
      <c r="P8" s="8">
        <v>-13</v>
      </c>
      <c r="Q8" s="8">
        <v>-14</v>
      </c>
      <c r="R8" s="8">
        <v>-15</v>
      </c>
      <c r="S8" s="8">
        <v>-16</v>
      </c>
      <c r="T8" s="8">
        <v>-17</v>
      </c>
      <c r="U8" s="81" t="s">
        <v>199</v>
      </c>
      <c r="V8" s="81" t="s">
        <v>200</v>
      </c>
      <c r="W8" s="81" t="s">
        <v>201</v>
      </c>
      <c r="X8" s="81" t="s">
        <v>202</v>
      </c>
      <c r="Y8" s="81" t="s">
        <v>203</v>
      </c>
      <c r="Z8" s="81" t="s">
        <v>204</v>
      </c>
      <c r="AA8" s="81" t="s">
        <v>205</v>
      </c>
      <c r="AB8" s="81" t="s">
        <v>206</v>
      </c>
      <c r="AC8" s="81" t="s">
        <v>207</v>
      </c>
      <c r="AD8" s="81" t="s">
        <v>208</v>
      </c>
      <c r="AE8" s="81" t="s">
        <v>209</v>
      </c>
      <c r="AF8" s="81" t="s">
        <v>210</v>
      </c>
      <c r="AG8" s="81" t="s">
        <v>211</v>
      </c>
      <c r="AH8" s="81" t="s">
        <v>34</v>
      </c>
    </row>
    <row r="9" spans="1:34" ht="15" customHeight="1" x14ac:dyDescent="0.25">
      <c r="A9" s="10" t="s">
        <v>35</v>
      </c>
      <c r="B9" s="11" t="s">
        <v>36</v>
      </c>
      <c r="C9" s="12"/>
      <c r="D9" s="13">
        <f t="shared" ref="D9:D72" si="1">SUM(H9:AH9)</f>
        <v>123272.8723</v>
      </c>
      <c r="E9" s="13">
        <v>100</v>
      </c>
      <c r="F9" s="13">
        <v>85775.849999999991</v>
      </c>
      <c r="G9" s="13"/>
      <c r="H9" s="14">
        <f>H10+H34+H72</f>
        <v>6895.2800000000007</v>
      </c>
      <c r="I9" s="14">
        <f t="shared" ref="I9:AH9" si="2">I10+I34+I72</f>
        <v>6528.5599999999995</v>
      </c>
      <c r="J9" s="14">
        <f t="shared" si="2"/>
        <v>6073.6500000000005</v>
      </c>
      <c r="K9" s="14">
        <f t="shared" si="2"/>
        <v>5338.63</v>
      </c>
      <c r="L9" s="14">
        <f t="shared" si="2"/>
        <v>12552.739999999998</v>
      </c>
      <c r="M9" s="14">
        <f t="shared" si="2"/>
        <v>9123.2099999999991</v>
      </c>
      <c r="N9" s="14">
        <f t="shared" si="2"/>
        <v>105.41000000000001</v>
      </c>
      <c r="O9" s="14">
        <f t="shared" si="2"/>
        <v>2363.1223</v>
      </c>
      <c r="P9" s="14">
        <f t="shared" si="2"/>
        <v>2583.75</v>
      </c>
      <c r="Q9" s="14">
        <f t="shared" si="2"/>
        <v>2252.1999999999998</v>
      </c>
      <c r="R9" s="14">
        <f t="shared" si="2"/>
        <v>1513.6100000000001</v>
      </c>
      <c r="S9" s="14">
        <f t="shared" si="2"/>
        <v>2075.35</v>
      </c>
      <c r="T9" s="14">
        <f t="shared" si="2"/>
        <v>4560.7700000000004</v>
      </c>
      <c r="U9" s="14">
        <f t="shared" si="2"/>
        <v>1456.23</v>
      </c>
      <c r="V9" s="14">
        <f t="shared" si="2"/>
        <v>2763.88</v>
      </c>
      <c r="W9" s="14">
        <f t="shared" si="2"/>
        <v>1884.0400000000004</v>
      </c>
      <c r="X9" s="14">
        <f t="shared" si="2"/>
        <v>1855.7</v>
      </c>
      <c r="Y9" s="14">
        <f t="shared" si="2"/>
        <v>3087.63</v>
      </c>
      <c r="Z9" s="14">
        <f t="shared" si="2"/>
        <v>2644.19</v>
      </c>
      <c r="AA9" s="14">
        <f t="shared" si="2"/>
        <v>4678.1399999999994</v>
      </c>
      <c r="AB9" s="14">
        <f t="shared" si="2"/>
        <v>3546.4700000000003</v>
      </c>
      <c r="AC9" s="14">
        <f t="shared" si="2"/>
        <v>5256.9000000000005</v>
      </c>
      <c r="AD9" s="14">
        <f t="shared" si="2"/>
        <v>4093.69</v>
      </c>
      <c r="AE9" s="14">
        <f t="shared" si="2"/>
        <v>5905.1500000000005</v>
      </c>
      <c r="AF9" s="14">
        <f t="shared" si="2"/>
        <v>14093.36</v>
      </c>
      <c r="AG9" s="14">
        <f t="shared" si="2"/>
        <v>4268.4699999999993</v>
      </c>
      <c r="AH9" s="15">
        <f t="shared" si="2"/>
        <v>5772.74</v>
      </c>
    </row>
    <row r="10" spans="1:34" s="19" customFormat="1" ht="15" customHeight="1" x14ac:dyDescent="0.25">
      <c r="A10" s="16">
        <v>1</v>
      </c>
      <c r="B10" s="17" t="s">
        <v>37</v>
      </c>
      <c r="C10" s="18" t="s">
        <v>38</v>
      </c>
      <c r="D10" s="13">
        <f t="shared" si="1"/>
        <v>101162.93450000002</v>
      </c>
      <c r="E10" s="13">
        <f>D10/$D$9*100</f>
        <v>82.064230850245238</v>
      </c>
      <c r="F10" s="13">
        <v>80252.441233333331</v>
      </c>
      <c r="G10" s="13"/>
      <c r="H10" s="14">
        <f>H11+H15+H18+H19+H23+H27+H31+H33</f>
        <v>6312.31</v>
      </c>
      <c r="I10" s="14">
        <f t="shared" ref="I10:AH10" si="3">I11+I15+I18+I19+I23+I27+I31+I33</f>
        <v>5569.98</v>
      </c>
      <c r="J10" s="14">
        <f t="shared" si="3"/>
        <v>4903.51</v>
      </c>
      <c r="K10" s="14">
        <f t="shared" si="3"/>
        <v>5078.96</v>
      </c>
      <c r="L10" s="14">
        <f t="shared" si="3"/>
        <v>12115.957999999999</v>
      </c>
      <c r="M10" s="14">
        <f t="shared" si="3"/>
        <v>8979.52</v>
      </c>
      <c r="N10" s="14">
        <f t="shared" si="3"/>
        <v>21.44</v>
      </c>
      <c r="O10" s="14">
        <f t="shared" si="3"/>
        <v>1895.6423000000002</v>
      </c>
      <c r="P10" s="14">
        <f t="shared" si="3"/>
        <v>2442.4899999999998</v>
      </c>
      <c r="Q10" s="14">
        <f t="shared" si="3"/>
        <v>1709.19</v>
      </c>
      <c r="R10" s="14">
        <f t="shared" si="3"/>
        <v>1089.77</v>
      </c>
      <c r="S10" s="14">
        <f t="shared" si="3"/>
        <v>1810.93</v>
      </c>
      <c r="T10" s="14">
        <f t="shared" si="3"/>
        <v>3428.35</v>
      </c>
      <c r="U10" s="14">
        <f t="shared" si="3"/>
        <v>915.55420000000004</v>
      </c>
      <c r="V10" s="14">
        <f t="shared" si="3"/>
        <v>1878.1599999999999</v>
      </c>
      <c r="W10" s="14">
        <f t="shared" si="3"/>
        <v>1406.2100000000003</v>
      </c>
      <c r="X10" s="14">
        <f t="shared" si="3"/>
        <v>1184.1600000000001</v>
      </c>
      <c r="Y10" s="14">
        <f t="shared" si="3"/>
        <v>2097.3300000000004</v>
      </c>
      <c r="Z10" s="14">
        <f t="shared" si="3"/>
        <v>2280.5100000000002</v>
      </c>
      <c r="AA10" s="14">
        <f t="shared" si="3"/>
        <v>3315.35</v>
      </c>
      <c r="AB10" s="14">
        <f t="shared" si="3"/>
        <v>2101.46</v>
      </c>
      <c r="AC10" s="14">
        <f t="shared" si="3"/>
        <v>3646.94</v>
      </c>
      <c r="AD10" s="14">
        <f t="shared" si="3"/>
        <v>2839.25</v>
      </c>
      <c r="AE10" s="14">
        <f t="shared" si="3"/>
        <v>4948.54</v>
      </c>
      <c r="AF10" s="14">
        <f t="shared" si="3"/>
        <v>11864.55</v>
      </c>
      <c r="AG10" s="14">
        <f t="shared" si="3"/>
        <v>2710.35</v>
      </c>
      <c r="AH10" s="15">
        <f t="shared" si="3"/>
        <v>4616.5200000000004</v>
      </c>
    </row>
    <row r="11" spans="1:34" s="19" customFormat="1" ht="15" customHeight="1" x14ac:dyDescent="0.25">
      <c r="A11" s="20" t="s">
        <v>39</v>
      </c>
      <c r="B11" s="21" t="s">
        <v>40</v>
      </c>
      <c r="C11" s="22" t="s">
        <v>41</v>
      </c>
      <c r="D11" s="23">
        <f t="shared" si="1"/>
        <v>3426.2688000000003</v>
      </c>
      <c r="E11" s="23">
        <f>D11/D10*100</f>
        <v>3.3868815855672905</v>
      </c>
      <c r="F11" s="23">
        <v>1572.1643000000001</v>
      </c>
      <c r="G11" s="23"/>
      <c r="H11" s="24">
        <f>H12+H13+H14</f>
        <v>151.85</v>
      </c>
      <c r="I11" s="24">
        <f t="shared" ref="I11:AH11" si="4">I12+I13+I14</f>
        <v>178.93</v>
      </c>
      <c r="J11" s="24">
        <f t="shared" si="4"/>
        <v>144.36000000000001</v>
      </c>
      <c r="K11" s="24">
        <f t="shared" si="4"/>
        <v>161.47000000000003</v>
      </c>
      <c r="L11" s="24">
        <f t="shared" si="4"/>
        <v>178.43130000000002</v>
      </c>
      <c r="M11" s="24">
        <f t="shared" si="4"/>
        <v>187.44</v>
      </c>
      <c r="N11" s="24">
        <f t="shared" si="4"/>
        <v>0</v>
      </c>
      <c r="O11" s="24">
        <f t="shared" si="4"/>
        <v>203.54749999999999</v>
      </c>
      <c r="P11" s="24">
        <f t="shared" si="4"/>
        <v>145.16999999999999</v>
      </c>
      <c r="Q11" s="24">
        <f t="shared" si="4"/>
        <v>66.349999999999994</v>
      </c>
      <c r="R11" s="24">
        <f t="shared" si="4"/>
        <v>165.82</v>
      </c>
      <c r="S11" s="24">
        <f t="shared" si="4"/>
        <v>238.79</v>
      </c>
      <c r="T11" s="24">
        <f t="shared" si="4"/>
        <v>262.56</v>
      </c>
      <c r="U11" s="24">
        <f t="shared" si="4"/>
        <v>242.36</v>
      </c>
      <c r="V11" s="24">
        <f t="shared" si="4"/>
        <v>203.42000000000002</v>
      </c>
      <c r="W11" s="24">
        <f t="shared" si="4"/>
        <v>38.93</v>
      </c>
      <c r="X11" s="24">
        <f t="shared" si="4"/>
        <v>165.11</v>
      </c>
      <c r="Y11" s="24">
        <f t="shared" si="4"/>
        <v>98.45</v>
      </c>
      <c r="Z11" s="24">
        <f t="shared" si="4"/>
        <v>162.10999999999999</v>
      </c>
      <c r="AA11" s="24">
        <f t="shared" si="4"/>
        <v>12.94</v>
      </c>
      <c r="AB11" s="24">
        <f t="shared" si="4"/>
        <v>108.61</v>
      </c>
      <c r="AC11" s="24">
        <f t="shared" si="4"/>
        <v>5.66</v>
      </c>
      <c r="AD11" s="24">
        <f t="shared" si="4"/>
        <v>57.44</v>
      </c>
      <c r="AE11" s="24">
        <f t="shared" si="4"/>
        <v>18.95</v>
      </c>
      <c r="AF11" s="24">
        <f t="shared" si="4"/>
        <v>113.60999999999999</v>
      </c>
      <c r="AG11" s="24">
        <f t="shared" si="4"/>
        <v>80.819999999999993</v>
      </c>
      <c r="AH11" s="82">
        <f t="shared" si="4"/>
        <v>33.14</v>
      </c>
    </row>
    <row r="12" spans="1:34" s="29" customFormat="1" ht="15" customHeight="1" x14ac:dyDescent="0.25">
      <c r="A12" s="25" t="s">
        <v>42</v>
      </c>
      <c r="B12" s="26" t="s">
        <v>43</v>
      </c>
      <c r="C12" s="27" t="s">
        <v>44</v>
      </c>
      <c r="D12" s="28">
        <f t="shared" si="1"/>
        <v>2170.7288000000003</v>
      </c>
      <c r="E12" s="28">
        <f>D12/$D$11*100</f>
        <v>63.355472868912102</v>
      </c>
      <c r="F12" s="28">
        <f>707.0641</f>
        <v>707.06410000000005</v>
      </c>
      <c r="G12" s="28">
        <f>D11+D15+D18</f>
        <v>42685.494699999988</v>
      </c>
      <c r="H12" s="83">
        <v>113.69</v>
      </c>
      <c r="I12" s="84">
        <v>130.33000000000001</v>
      </c>
      <c r="J12" s="85">
        <v>32.68</v>
      </c>
      <c r="K12" s="85">
        <v>86.9</v>
      </c>
      <c r="L12" s="56">
        <f>148.36-0.3987</f>
        <v>147.96130000000002</v>
      </c>
      <c r="M12" s="85">
        <v>33.58</v>
      </c>
      <c r="N12" s="85">
        <v>0</v>
      </c>
      <c r="O12" s="86">
        <f>202.8175-1.06</f>
        <v>201.75749999999999</v>
      </c>
      <c r="P12" s="42">
        <v>140.98999999999998</v>
      </c>
      <c r="Q12" s="85">
        <v>41.04</v>
      </c>
      <c r="R12" s="42">
        <v>156.62</v>
      </c>
      <c r="S12" s="85">
        <v>163.47</v>
      </c>
      <c r="T12" s="85">
        <v>201.98</v>
      </c>
      <c r="U12" s="42">
        <v>201.28</v>
      </c>
      <c r="V12" s="42">
        <v>196.87</v>
      </c>
      <c r="W12" s="85">
        <v>30.75</v>
      </c>
      <c r="X12" s="85">
        <v>116.68</v>
      </c>
      <c r="Y12" s="85">
        <v>25.94</v>
      </c>
      <c r="Z12" s="85">
        <v>122.81</v>
      </c>
      <c r="AA12" s="85">
        <v>0</v>
      </c>
      <c r="AB12" s="85">
        <v>1.51</v>
      </c>
      <c r="AC12" s="85">
        <v>0.25</v>
      </c>
      <c r="AD12" s="85">
        <v>0</v>
      </c>
      <c r="AE12" s="85">
        <v>3.46</v>
      </c>
      <c r="AF12" s="85">
        <v>0</v>
      </c>
      <c r="AG12" s="85">
        <v>20.18</v>
      </c>
      <c r="AH12" s="87">
        <v>0</v>
      </c>
    </row>
    <row r="13" spans="1:34" s="9" customFormat="1" ht="15" customHeight="1" x14ac:dyDescent="0.25">
      <c r="A13" s="30" t="s">
        <v>45</v>
      </c>
      <c r="B13" s="31" t="s">
        <v>46</v>
      </c>
      <c r="C13" s="32" t="s">
        <v>47</v>
      </c>
      <c r="D13" s="23">
        <f t="shared" si="1"/>
        <v>841.2</v>
      </c>
      <c r="E13" s="28">
        <f>D13/$D$11*100</f>
        <v>24.551488779864556</v>
      </c>
      <c r="F13" s="23">
        <v>390.4461</v>
      </c>
      <c r="G13" s="23">
        <f>(D12+D13)/G12</f>
        <v>7.0560943973316567E-2</v>
      </c>
      <c r="H13" s="88">
        <v>34.69</v>
      </c>
      <c r="I13" s="88">
        <v>48.6</v>
      </c>
      <c r="J13" s="88">
        <v>111.68</v>
      </c>
      <c r="K13" s="88">
        <v>74.570000000000007</v>
      </c>
      <c r="L13" s="89">
        <f>30.53-0.06</f>
        <v>30.470000000000002</v>
      </c>
      <c r="M13" s="88">
        <v>153.86000000000001</v>
      </c>
      <c r="N13" s="85">
        <v>0</v>
      </c>
      <c r="O13" s="88">
        <v>1.79</v>
      </c>
      <c r="P13" s="88">
        <v>4.18</v>
      </c>
      <c r="Q13" s="88">
        <v>25.31</v>
      </c>
      <c r="R13" s="51">
        <v>3.81</v>
      </c>
      <c r="S13" s="51">
        <v>75.319999999999993</v>
      </c>
      <c r="T13" s="88">
        <v>18.66</v>
      </c>
      <c r="U13" s="90">
        <v>41.08</v>
      </c>
      <c r="V13" s="51">
        <v>6.55</v>
      </c>
      <c r="W13" s="51">
        <v>7.37</v>
      </c>
      <c r="X13" s="51">
        <v>48.43</v>
      </c>
      <c r="Y13" s="51">
        <v>0.23</v>
      </c>
      <c r="Z13" s="51">
        <v>14.01</v>
      </c>
      <c r="AA13" s="51">
        <v>12.94</v>
      </c>
      <c r="AB13" s="51">
        <v>2.96</v>
      </c>
      <c r="AC13" s="51">
        <v>5.41</v>
      </c>
      <c r="AD13" s="51">
        <v>57.44</v>
      </c>
      <c r="AE13" s="51">
        <v>0</v>
      </c>
      <c r="AF13" s="51">
        <v>19.79</v>
      </c>
      <c r="AG13" s="51">
        <v>8.91</v>
      </c>
      <c r="AH13" s="52">
        <v>33.14</v>
      </c>
    </row>
    <row r="14" spans="1:34" s="9" customFormat="1" ht="15" customHeight="1" x14ac:dyDescent="0.25">
      <c r="A14" s="30" t="s">
        <v>48</v>
      </c>
      <c r="B14" s="31" t="s">
        <v>49</v>
      </c>
      <c r="C14" s="32" t="s">
        <v>50</v>
      </c>
      <c r="D14" s="33">
        <f t="shared" si="1"/>
        <v>414.34000000000003</v>
      </c>
      <c r="E14" s="28">
        <f>D14/$D$11*100</f>
        <v>12.093038351223347</v>
      </c>
      <c r="F14" s="23">
        <f>474.6541-250</f>
        <v>224.65410000000003</v>
      </c>
      <c r="G14" s="23">
        <f>D15/G12</f>
        <v>0.84818526889416601</v>
      </c>
      <c r="H14" s="51">
        <v>3.47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5.39</v>
      </c>
      <c r="S14" s="51">
        <v>0</v>
      </c>
      <c r="T14" s="51">
        <v>41.92</v>
      </c>
      <c r="U14" s="51">
        <v>0</v>
      </c>
      <c r="V14" s="51">
        <v>0</v>
      </c>
      <c r="W14" s="51">
        <v>0.81</v>
      </c>
      <c r="X14" s="51">
        <v>0</v>
      </c>
      <c r="Y14" s="51">
        <v>72.28</v>
      </c>
      <c r="Z14" s="51">
        <v>25.29</v>
      </c>
      <c r="AA14" s="51">
        <v>0</v>
      </c>
      <c r="AB14" s="51">
        <v>104.14</v>
      </c>
      <c r="AC14" s="51">
        <v>0</v>
      </c>
      <c r="AD14" s="51">
        <v>0</v>
      </c>
      <c r="AE14" s="51">
        <v>15.49</v>
      </c>
      <c r="AF14" s="51">
        <v>93.82</v>
      </c>
      <c r="AG14" s="51">
        <v>51.73</v>
      </c>
      <c r="AH14" s="52">
        <v>0</v>
      </c>
    </row>
    <row r="15" spans="1:34" s="19" customFormat="1" ht="15" customHeight="1" x14ac:dyDescent="0.25">
      <c r="A15" s="20" t="s">
        <v>51</v>
      </c>
      <c r="B15" s="21" t="s">
        <v>52</v>
      </c>
      <c r="C15" s="22" t="s">
        <v>53</v>
      </c>
      <c r="D15" s="23">
        <f t="shared" si="1"/>
        <v>36205.207799999989</v>
      </c>
      <c r="E15" s="23">
        <f>D15/$D$10*100</f>
        <v>35.789005112341798</v>
      </c>
      <c r="F15" s="23">
        <v>27680.73723333333</v>
      </c>
      <c r="G15" s="23"/>
      <c r="H15" s="24">
        <f>H16+H17</f>
        <v>1315.37</v>
      </c>
      <c r="I15" s="24">
        <f t="shared" ref="I15:AH15" si="5">I16+I17</f>
        <v>2658.05</v>
      </c>
      <c r="J15" s="24">
        <f t="shared" si="5"/>
        <v>2419.42</v>
      </c>
      <c r="K15" s="24">
        <f t="shared" si="5"/>
        <v>2117.71</v>
      </c>
      <c r="L15" s="24">
        <f t="shared" si="5"/>
        <v>4158.3530000000001</v>
      </c>
      <c r="M15" s="24">
        <f t="shared" si="5"/>
        <v>2159.6200000000003</v>
      </c>
      <c r="N15" s="24">
        <f t="shared" si="5"/>
        <v>4.17</v>
      </c>
      <c r="O15" s="24">
        <f t="shared" si="5"/>
        <v>748.99479999999994</v>
      </c>
      <c r="P15" s="24">
        <f t="shared" si="5"/>
        <v>618.25</v>
      </c>
      <c r="Q15" s="24">
        <f t="shared" si="5"/>
        <v>590.17000000000007</v>
      </c>
      <c r="R15" s="24">
        <f t="shared" si="5"/>
        <v>458.12</v>
      </c>
      <c r="S15" s="24">
        <f t="shared" si="5"/>
        <v>458.26</v>
      </c>
      <c r="T15" s="24">
        <f t="shared" si="5"/>
        <v>1090.47</v>
      </c>
      <c r="U15" s="24">
        <f t="shared" si="5"/>
        <v>170.73000000000002</v>
      </c>
      <c r="V15" s="24">
        <f t="shared" si="5"/>
        <v>65.63</v>
      </c>
      <c r="W15" s="24">
        <f t="shared" si="5"/>
        <v>589.92000000000007</v>
      </c>
      <c r="X15" s="24">
        <f t="shared" si="5"/>
        <v>386.8</v>
      </c>
      <c r="Y15" s="24">
        <f t="shared" si="5"/>
        <v>595.79000000000008</v>
      </c>
      <c r="Z15" s="24">
        <f t="shared" si="5"/>
        <v>912.7</v>
      </c>
      <c r="AA15" s="24">
        <f t="shared" si="5"/>
        <v>1689.79</v>
      </c>
      <c r="AB15" s="24">
        <f t="shared" si="5"/>
        <v>658.42</v>
      </c>
      <c r="AC15" s="24">
        <f t="shared" si="5"/>
        <v>867.28</v>
      </c>
      <c r="AD15" s="24">
        <f t="shared" si="5"/>
        <v>1741.62</v>
      </c>
      <c r="AE15" s="24">
        <f t="shared" si="5"/>
        <v>1552.31</v>
      </c>
      <c r="AF15" s="24">
        <f t="shared" si="5"/>
        <v>3249.74</v>
      </c>
      <c r="AG15" s="24">
        <f t="shared" si="5"/>
        <v>1620.77</v>
      </c>
      <c r="AH15" s="82">
        <f t="shared" si="5"/>
        <v>3306.75</v>
      </c>
    </row>
    <row r="16" spans="1:34" s="36" customFormat="1" ht="15" customHeight="1" x14ac:dyDescent="0.25">
      <c r="A16" s="25"/>
      <c r="B16" s="34" t="s">
        <v>54</v>
      </c>
      <c r="C16" s="35" t="s">
        <v>55</v>
      </c>
      <c r="D16" s="28">
        <f t="shared" si="1"/>
        <v>14.620000000000001</v>
      </c>
      <c r="E16" s="28"/>
      <c r="F16" s="28"/>
      <c r="G16" s="28"/>
      <c r="H16" s="85">
        <v>5.61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3.81</v>
      </c>
      <c r="O16" s="85">
        <v>0</v>
      </c>
      <c r="P16" s="85">
        <v>0.1</v>
      </c>
      <c r="Q16" s="85">
        <v>0</v>
      </c>
      <c r="R16" s="85">
        <v>0.05</v>
      </c>
      <c r="S16" s="85">
        <v>0</v>
      </c>
      <c r="T16" s="85">
        <v>0</v>
      </c>
      <c r="U16" s="85">
        <v>5.05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7">
        <v>0</v>
      </c>
    </row>
    <row r="17" spans="1:34" s="36" customFormat="1" ht="15" customHeight="1" x14ac:dyDescent="0.25">
      <c r="A17" s="25"/>
      <c r="B17" s="34" t="s">
        <v>56</v>
      </c>
      <c r="C17" s="35" t="s">
        <v>57</v>
      </c>
      <c r="D17" s="28">
        <f t="shared" si="1"/>
        <v>36190.587799999994</v>
      </c>
      <c r="E17" s="28"/>
      <c r="F17" s="28"/>
      <c r="G17" s="28"/>
      <c r="H17" s="91">
        <f>1355.14-39.38-6</f>
        <v>1309.76</v>
      </c>
      <c r="I17" s="24">
        <f>2586.5+71.55</f>
        <v>2658.05</v>
      </c>
      <c r="J17" s="24">
        <f>2146.45+272.97</f>
        <v>2419.42</v>
      </c>
      <c r="K17" s="24">
        <f>2152.56-34.85</f>
        <v>2117.71</v>
      </c>
      <c r="L17" s="92">
        <f>4171.21+0.08-12.937</f>
        <v>4158.3530000000001</v>
      </c>
      <c r="M17" s="91">
        <f>2144.84+14.78</f>
        <v>2159.6200000000003</v>
      </c>
      <c r="N17" s="92">
        <v>0.36</v>
      </c>
      <c r="O17" s="24">
        <f>741.3148+7.68</f>
        <v>748.99479999999994</v>
      </c>
      <c r="P17" s="91">
        <f>695.88-77.73</f>
        <v>618.15</v>
      </c>
      <c r="Q17" s="24">
        <f>553.96+36.21</f>
        <v>590.17000000000007</v>
      </c>
      <c r="R17" s="91">
        <v>458.07</v>
      </c>
      <c r="S17" s="24">
        <f>465.83-7.57</f>
        <v>458.26</v>
      </c>
      <c r="T17" s="24">
        <v>1090.47</v>
      </c>
      <c r="U17" s="91">
        <v>165.68</v>
      </c>
      <c r="V17" s="24">
        <f>120.7-55.07</f>
        <v>65.63</v>
      </c>
      <c r="W17" s="24">
        <f>440.43+149.49</f>
        <v>589.92000000000007</v>
      </c>
      <c r="X17" s="24">
        <f>225.08+161.72</f>
        <v>386.8</v>
      </c>
      <c r="Y17" s="24">
        <f>565.71+30.08</f>
        <v>595.79000000000008</v>
      </c>
      <c r="Z17" s="24">
        <f>889.58+23.12</f>
        <v>912.7</v>
      </c>
      <c r="AA17" s="24">
        <f>1729.04-39.25</f>
        <v>1689.79</v>
      </c>
      <c r="AB17" s="24">
        <v>658.42</v>
      </c>
      <c r="AC17" s="24">
        <f>898.1-30.82</f>
        <v>867.28</v>
      </c>
      <c r="AD17" s="24">
        <f>1758.09-16.47</f>
        <v>1741.62</v>
      </c>
      <c r="AE17" s="24">
        <f>1545.47+6.84</f>
        <v>1552.31</v>
      </c>
      <c r="AF17" s="24">
        <f>3288.37-38.63</f>
        <v>3249.74</v>
      </c>
      <c r="AG17" s="24">
        <f>1563.91+56.86</f>
        <v>1620.77</v>
      </c>
      <c r="AH17" s="82">
        <f>3280.77+25.98</f>
        <v>3306.75</v>
      </c>
    </row>
    <row r="18" spans="1:34" s="19" customFormat="1" ht="15" customHeight="1" x14ac:dyDescent="0.25">
      <c r="A18" s="20" t="s">
        <v>58</v>
      </c>
      <c r="B18" s="21" t="s">
        <v>59</v>
      </c>
      <c r="C18" s="22" t="s">
        <v>60</v>
      </c>
      <c r="D18" s="23">
        <f t="shared" si="1"/>
        <v>3054.0180999999998</v>
      </c>
      <c r="E18" s="23">
        <f>D18/$D$10*100</f>
        <v>3.0189101523147288</v>
      </c>
      <c r="F18" s="23">
        <v>5809.2359999999999</v>
      </c>
      <c r="G18" s="23"/>
      <c r="H18" s="24">
        <f>219.82+3</f>
        <v>222.82</v>
      </c>
      <c r="I18" s="24">
        <v>439.02</v>
      </c>
      <c r="J18" s="24">
        <v>285.39999999999998</v>
      </c>
      <c r="K18" s="24">
        <v>79.94</v>
      </c>
      <c r="L18" s="92">
        <f>83.52-2.5961</f>
        <v>80.923900000000003</v>
      </c>
      <c r="M18" s="24">
        <v>158.85</v>
      </c>
      <c r="N18" s="24">
        <v>12.82</v>
      </c>
      <c r="O18" s="24">
        <v>71</v>
      </c>
      <c r="P18" s="91">
        <v>147.5</v>
      </c>
      <c r="Q18" s="24">
        <v>75.3</v>
      </c>
      <c r="R18" s="24">
        <v>93.81</v>
      </c>
      <c r="S18" s="24">
        <v>123.7</v>
      </c>
      <c r="T18" s="24">
        <v>86.36</v>
      </c>
      <c r="U18" s="24">
        <v>124.17420000000001</v>
      </c>
      <c r="V18" s="24">
        <v>173.5</v>
      </c>
      <c r="W18" s="24">
        <v>33</v>
      </c>
      <c r="X18" s="24">
        <v>70.5</v>
      </c>
      <c r="Y18" s="24">
        <v>7.3</v>
      </c>
      <c r="Z18" s="24">
        <v>79</v>
      </c>
      <c r="AA18" s="24">
        <v>92</v>
      </c>
      <c r="AB18" s="24">
        <v>95.99</v>
      </c>
      <c r="AC18" s="24">
        <v>120</v>
      </c>
      <c r="AD18" s="24">
        <v>117.1</v>
      </c>
      <c r="AE18" s="24">
        <v>51</v>
      </c>
      <c r="AF18" s="24">
        <v>94</v>
      </c>
      <c r="AG18" s="24">
        <v>52.07</v>
      </c>
      <c r="AH18" s="82">
        <v>66.94</v>
      </c>
    </row>
    <row r="19" spans="1:34" s="19" customFormat="1" ht="15" customHeight="1" x14ac:dyDescent="0.25">
      <c r="A19" s="20" t="s">
        <v>61</v>
      </c>
      <c r="B19" s="21" t="s">
        <v>62</v>
      </c>
      <c r="C19" s="22" t="s">
        <v>63</v>
      </c>
      <c r="D19" s="23">
        <f t="shared" si="1"/>
        <v>23740.950700000005</v>
      </c>
      <c r="E19" s="23">
        <f>D19/$D$10*100</f>
        <v>23.468032849521581</v>
      </c>
      <c r="F19" s="23">
        <v>23319.07</v>
      </c>
      <c r="G19" s="23"/>
      <c r="H19" s="24">
        <f>H20+H21+H22</f>
        <v>866.68</v>
      </c>
      <c r="I19" s="24">
        <f t="shared" ref="I19:AH19" si="6">I20+I21+I22</f>
        <v>676.24</v>
      </c>
      <c r="J19" s="24">
        <f t="shared" si="6"/>
        <v>283.20999999999998</v>
      </c>
      <c r="K19" s="24">
        <f t="shared" si="6"/>
        <v>2009.87</v>
      </c>
      <c r="L19" s="24">
        <f t="shared" si="6"/>
        <v>5723.1707000000006</v>
      </c>
      <c r="M19" s="24">
        <f t="shared" si="6"/>
        <v>2766.06</v>
      </c>
      <c r="N19" s="24">
        <f t="shared" si="6"/>
        <v>0</v>
      </c>
      <c r="O19" s="24">
        <f t="shared" si="6"/>
        <v>0</v>
      </c>
      <c r="P19" s="24">
        <f t="shared" si="6"/>
        <v>947.03</v>
      </c>
      <c r="Q19" s="24">
        <f t="shared" si="6"/>
        <v>4.84</v>
      </c>
      <c r="R19" s="24">
        <f t="shared" si="6"/>
        <v>0</v>
      </c>
      <c r="S19" s="24">
        <f t="shared" si="6"/>
        <v>134.85</v>
      </c>
      <c r="T19" s="24">
        <f t="shared" si="6"/>
        <v>748.95</v>
      </c>
      <c r="U19" s="24">
        <f t="shared" si="6"/>
        <v>0</v>
      </c>
      <c r="V19" s="24">
        <f t="shared" si="6"/>
        <v>151.63</v>
      </c>
      <c r="W19" s="24">
        <f t="shared" si="6"/>
        <v>66.33</v>
      </c>
      <c r="X19" s="24">
        <f t="shared" si="6"/>
        <v>302.42</v>
      </c>
      <c r="Y19" s="24">
        <f t="shared" si="6"/>
        <v>430.54</v>
      </c>
      <c r="Z19" s="24">
        <f t="shared" si="6"/>
        <v>84.45</v>
      </c>
      <c r="AA19" s="24">
        <f t="shared" si="6"/>
        <v>776.71</v>
      </c>
      <c r="AB19" s="24">
        <f t="shared" si="6"/>
        <v>729</v>
      </c>
      <c r="AC19" s="24">
        <f t="shared" si="6"/>
        <v>1905.38</v>
      </c>
      <c r="AD19" s="24">
        <f t="shared" si="6"/>
        <v>520.86</v>
      </c>
      <c r="AE19" s="24">
        <f t="shared" si="6"/>
        <v>2884.95</v>
      </c>
      <c r="AF19" s="24">
        <f t="shared" si="6"/>
        <v>1663.93</v>
      </c>
      <c r="AG19" s="24">
        <f t="shared" si="6"/>
        <v>0</v>
      </c>
      <c r="AH19" s="82">
        <f t="shared" si="6"/>
        <v>63.85</v>
      </c>
    </row>
    <row r="20" spans="1:34" s="36" customFormat="1" ht="15" customHeight="1" x14ac:dyDescent="0.25">
      <c r="A20" s="25"/>
      <c r="B20" s="34" t="s">
        <v>64</v>
      </c>
      <c r="C20" s="35" t="s">
        <v>65</v>
      </c>
      <c r="D20" s="28">
        <f t="shared" si="1"/>
        <v>23740.950700000005</v>
      </c>
      <c r="E20" s="23"/>
      <c r="F20" s="23"/>
      <c r="G20" s="23"/>
      <c r="H20" s="93">
        <v>866.68</v>
      </c>
      <c r="I20" s="94">
        <v>676.24</v>
      </c>
      <c r="J20" s="49">
        <v>283.20999999999998</v>
      </c>
      <c r="K20" s="49">
        <v>2009.87</v>
      </c>
      <c r="L20" s="95">
        <f>5726.81-3.6393</f>
        <v>5723.1707000000006</v>
      </c>
      <c r="M20" s="49">
        <v>2766.06</v>
      </c>
      <c r="N20" s="49">
        <v>0</v>
      </c>
      <c r="O20" s="49">
        <v>0</v>
      </c>
      <c r="P20" s="49">
        <v>947.03</v>
      </c>
      <c r="Q20" s="49">
        <v>4.84</v>
      </c>
      <c r="R20" s="49">
        <v>0</v>
      </c>
      <c r="S20" s="49">
        <v>134.85</v>
      </c>
      <c r="T20" s="49">
        <v>748.95</v>
      </c>
      <c r="U20" s="49">
        <v>0</v>
      </c>
      <c r="V20" s="96">
        <v>151.63</v>
      </c>
      <c r="W20" s="96">
        <v>66.33</v>
      </c>
      <c r="X20" s="96">
        <v>302.42</v>
      </c>
      <c r="Y20" s="96">
        <v>430.54</v>
      </c>
      <c r="Z20" s="96">
        <v>84.45</v>
      </c>
      <c r="AA20" s="96">
        <v>776.71</v>
      </c>
      <c r="AB20" s="96">
        <v>729</v>
      </c>
      <c r="AC20" s="96">
        <v>1905.38</v>
      </c>
      <c r="AD20" s="96">
        <v>520.86</v>
      </c>
      <c r="AE20" s="96">
        <v>2884.95</v>
      </c>
      <c r="AF20" s="96">
        <v>1663.93</v>
      </c>
      <c r="AG20" s="96">
        <v>0</v>
      </c>
      <c r="AH20" s="97">
        <v>63.85</v>
      </c>
    </row>
    <row r="21" spans="1:34" s="36" customFormat="1" ht="15" customHeight="1" x14ac:dyDescent="0.25">
      <c r="A21" s="25"/>
      <c r="B21" s="34" t="s">
        <v>66</v>
      </c>
      <c r="C21" s="35" t="s">
        <v>67</v>
      </c>
      <c r="D21" s="28">
        <f t="shared" si="1"/>
        <v>0</v>
      </c>
      <c r="E21" s="23"/>
      <c r="F21" s="23"/>
      <c r="G21" s="23"/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98">
        <v>0</v>
      </c>
    </row>
    <row r="22" spans="1:34" s="36" customFormat="1" ht="23.25" customHeight="1" x14ac:dyDescent="0.25">
      <c r="A22" s="25"/>
      <c r="B22" s="37" t="s">
        <v>68</v>
      </c>
      <c r="C22" s="35" t="s">
        <v>69</v>
      </c>
      <c r="D22" s="28">
        <f t="shared" si="1"/>
        <v>0</v>
      </c>
      <c r="E22" s="23"/>
      <c r="F22" s="23"/>
      <c r="G22" s="23"/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98">
        <v>0</v>
      </c>
    </row>
    <row r="23" spans="1:34" s="19" customFormat="1" ht="15" customHeight="1" x14ac:dyDescent="0.25">
      <c r="A23" s="20" t="s">
        <v>70</v>
      </c>
      <c r="B23" s="21" t="s">
        <v>71</v>
      </c>
      <c r="C23" s="22" t="s">
        <v>72</v>
      </c>
      <c r="D23" s="23">
        <f t="shared" si="1"/>
        <v>8411.9</v>
      </c>
      <c r="E23" s="23">
        <f>D23/$D$10*100</f>
        <v>8.3151996742443242</v>
      </c>
      <c r="F23" s="23">
        <v>0</v>
      </c>
      <c r="G23" s="23"/>
      <c r="H23" s="24">
        <v>2718.44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5693.46</v>
      </c>
      <c r="AG23" s="24">
        <v>0</v>
      </c>
      <c r="AH23" s="82">
        <v>0</v>
      </c>
    </row>
    <row r="24" spans="1:34" s="19" customFormat="1" ht="15" customHeight="1" x14ac:dyDescent="0.25">
      <c r="A24" s="20"/>
      <c r="B24" s="37" t="s">
        <v>73</v>
      </c>
      <c r="C24" s="22" t="s">
        <v>74</v>
      </c>
      <c r="D24" s="28">
        <f t="shared" si="1"/>
        <v>8411.9</v>
      </c>
      <c r="E24" s="23"/>
      <c r="F24" s="23"/>
      <c r="G24" s="23"/>
      <c r="H24" s="24">
        <v>2718.44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5693.46</v>
      </c>
      <c r="AG24" s="24">
        <v>0</v>
      </c>
      <c r="AH24" s="82">
        <v>0</v>
      </c>
    </row>
    <row r="25" spans="1:34" s="19" customFormat="1" ht="15" customHeight="1" x14ac:dyDescent="0.25">
      <c r="A25" s="20"/>
      <c r="B25" s="37" t="s">
        <v>75</v>
      </c>
      <c r="C25" s="22" t="s">
        <v>76</v>
      </c>
      <c r="D25" s="23">
        <f t="shared" si="1"/>
        <v>0</v>
      </c>
      <c r="E25" s="23"/>
      <c r="F25" s="23"/>
      <c r="G25" s="23"/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82">
        <v>0</v>
      </c>
    </row>
    <row r="26" spans="1:34" s="19" customFormat="1" ht="22.5" customHeight="1" x14ac:dyDescent="0.25">
      <c r="A26" s="20"/>
      <c r="B26" s="37" t="s">
        <v>77</v>
      </c>
      <c r="C26" s="22" t="s">
        <v>78</v>
      </c>
      <c r="D26" s="23">
        <f t="shared" si="1"/>
        <v>0</v>
      </c>
      <c r="E26" s="23"/>
      <c r="F26" s="23"/>
      <c r="G26" s="23"/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82">
        <v>0</v>
      </c>
    </row>
    <row r="27" spans="1:34" s="19" customFormat="1" ht="15" customHeight="1" x14ac:dyDescent="0.25">
      <c r="A27" s="20" t="s">
        <v>79</v>
      </c>
      <c r="B27" s="21" t="s">
        <v>80</v>
      </c>
      <c r="C27" s="22" t="s">
        <v>81</v>
      </c>
      <c r="D27" s="23">
        <f>SUM(H27:AH27)</f>
        <v>26130.983100000005</v>
      </c>
      <c r="E27" s="23">
        <f>D27/$D$10*100</f>
        <v>25.830590254378201</v>
      </c>
      <c r="F27" s="23">
        <v>21524.7559</v>
      </c>
      <c r="G27" s="23"/>
      <c r="H27" s="24">
        <f>H28+H29</f>
        <v>1033.0899999999999</v>
      </c>
      <c r="I27" s="24">
        <f t="shared" ref="I27:AH27" si="7">I28+I29</f>
        <v>1594.76</v>
      </c>
      <c r="J27" s="24">
        <f t="shared" si="7"/>
        <v>1759.1</v>
      </c>
      <c r="K27" s="24">
        <f t="shared" si="7"/>
        <v>703.94</v>
      </c>
      <c r="L27" s="24">
        <f t="shared" si="7"/>
        <v>1974.3931</v>
      </c>
      <c r="M27" s="24">
        <f t="shared" si="7"/>
        <v>3690.69</v>
      </c>
      <c r="N27" s="24">
        <f t="shared" si="7"/>
        <v>4.45</v>
      </c>
      <c r="O27" s="24">
        <f t="shared" si="7"/>
        <v>867.46</v>
      </c>
      <c r="P27" s="24">
        <f t="shared" si="7"/>
        <v>577.13</v>
      </c>
      <c r="Q27" s="24">
        <f t="shared" si="7"/>
        <v>968.82</v>
      </c>
      <c r="R27" s="24">
        <f t="shared" si="7"/>
        <v>349.83</v>
      </c>
      <c r="S27" s="24">
        <f t="shared" si="7"/>
        <v>833.63000000000011</v>
      </c>
      <c r="T27" s="24">
        <f t="shared" si="7"/>
        <v>1217.1500000000001</v>
      </c>
      <c r="U27" s="24">
        <f t="shared" si="7"/>
        <v>368.07</v>
      </c>
      <c r="V27" s="24">
        <f t="shared" si="7"/>
        <v>1274.26</v>
      </c>
      <c r="W27" s="24">
        <f t="shared" si="7"/>
        <v>677.33</v>
      </c>
      <c r="X27" s="24">
        <f t="shared" si="7"/>
        <v>248.32</v>
      </c>
      <c r="Y27" s="24">
        <f t="shared" si="7"/>
        <v>964.69</v>
      </c>
      <c r="Z27" s="24">
        <f t="shared" si="7"/>
        <v>1036.42</v>
      </c>
      <c r="AA27" s="24">
        <f t="shared" si="7"/>
        <v>743.06</v>
      </c>
      <c r="AB27" s="24">
        <f t="shared" si="7"/>
        <v>509.33</v>
      </c>
      <c r="AC27" s="24">
        <f t="shared" si="7"/>
        <v>747.73</v>
      </c>
      <c r="AD27" s="24">
        <f t="shared" si="7"/>
        <v>401.25</v>
      </c>
      <c r="AE27" s="24">
        <f t="shared" si="7"/>
        <v>440.4</v>
      </c>
      <c r="AF27" s="24">
        <f t="shared" si="7"/>
        <v>1049.22</v>
      </c>
      <c r="AG27" s="24">
        <f t="shared" si="7"/>
        <v>953.64</v>
      </c>
      <c r="AH27" s="82">
        <f t="shared" si="7"/>
        <v>1142.82</v>
      </c>
    </row>
    <row r="28" spans="1:34" s="19" customFormat="1" ht="15" customHeight="1" x14ac:dyDescent="0.25">
      <c r="A28" s="20"/>
      <c r="B28" s="37" t="s">
        <v>82</v>
      </c>
      <c r="C28" s="22" t="s">
        <v>83</v>
      </c>
      <c r="D28" s="23">
        <f>SUM(H28:AH28)</f>
        <v>20637.300000000003</v>
      </c>
      <c r="E28" s="23"/>
      <c r="F28" s="23"/>
      <c r="G28" s="23"/>
      <c r="H28" s="93">
        <v>1013.92</v>
      </c>
      <c r="I28" s="93">
        <v>1181.69</v>
      </c>
      <c r="J28" s="93">
        <v>1444.84</v>
      </c>
      <c r="K28" s="93">
        <v>639.21</v>
      </c>
      <c r="L28" s="93">
        <v>1961.7</v>
      </c>
      <c r="M28" s="93">
        <v>3638.51</v>
      </c>
      <c r="N28" s="93">
        <v>4.45</v>
      </c>
      <c r="O28" s="93">
        <v>688.6</v>
      </c>
      <c r="P28" s="93">
        <v>410.07</v>
      </c>
      <c r="Q28" s="93">
        <f>773.44-0.9</f>
        <v>772.54000000000008</v>
      </c>
      <c r="R28" s="93">
        <v>243.62</v>
      </c>
      <c r="S28" s="93">
        <v>752.57</v>
      </c>
      <c r="T28" s="93">
        <v>292.89999999999998</v>
      </c>
      <c r="U28" s="93">
        <v>322.68</v>
      </c>
      <c r="V28" s="93">
        <v>317.07</v>
      </c>
      <c r="W28" s="93">
        <v>244.03</v>
      </c>
      <c r="X28" s="93">
        <v>119.66</v>
      </c>
      <c r="Y28" s="93">
        <v>844.84</v>
      </c>
      <c r="Z28" s="93">
        <v>923.23</v>
      </c>
      <c r="AA28" s="93">
        <v>652.78</v>
      </c>
      <c r="AB28" s="93">
        <v>375.28</v>
      </c>
      <c r="AC28" s="93">
        <v>430.79</v>
      </c>
      <c r="AD28" s="93">
        <v>195.55</v>
      </c>
      <c r="AE28" s="93">
        <v>440.4</v>
      </c>
      <c r="AF28" s="93">
        <v>892.07</v>
      </c>
      <c r="AG28" s="93">
        <v>828.65</v>
      </c>
      <c r="AH28" s="99">
        <v>1005.65</v>
      </c>
    </row>
    <row r="29" spans="1:34" s="19" customFormat="1" ht="15" customHeight="1" x14ac:dyDescent="0.25">
      <c r="A29" s="20"/>
      <c r="B29" s="37" t="s">
        <v>84</v>
      </c>
      <c r="C29" s="22" t="s">
        <v>85</v>
      </c>
      <c r="D29" s="23">
        <f>SUM(H29:AH29)</f>
        <v>5493.6830999999984</v>
      </c>
      <c r="E29" s="23"/>
      <c r="F29" s="23"/>
      <c r="G29" s="23"/>
      <c r="H29" s="100">
        <v>19.170000000000002</v>
      </c>
      <c r="I29" s="93">
        <v>413.07</v>
      </c>
      <c r="J29" s="93">
        <v>314.26</v>
      </c>
      <c r="K29" s="93">
        <v>64.73</v>
      </c>
      <c r="L29" s="101">
        <f>16.15-3.4569</f>
        <v>12.693099999999998</v>
      </c>
      <c r="M29" s="93">
        <v>52.18</v>
      </c>
      <c r="N29" s="93">
        <v>0</v>
      </c>
      <c r="O29" s="93">
        <f>141.71+37.15</f>
        <v>178.86</v>
      </c>
      <c r="P29" s="93">
        <v>167.06</v>
      </c>
      <c r="Q29" s="94">
        <f>157.49+38.79</f>
        <v>196.28</v>
      </c>
      <c r="R29" s="93">
        <v>106.21</v>
      </c>
      <c r="S29" s="93">
        <f>62.6+18.46</f>
        <v>81.06</v>
      </c>
      <c r="T29" s="93">
        <v>924.25</v>
      </c>
      <c r="U29" s="93">
        <v>45.39</v>
      </c>
      <c r="V29" s="93">
        <f>829.21+127.98</f>
        <v>957.19</v>
      </c>
      <c r="W29" s="93">
        <f>394.47+38.83</f>
        <v>433.3</v>
      </c>
      <c r="X29" s="93">
        <v>128.66</v>
      </c>
      <c r="Y29" s="93">
        <v>119.85</v>
      </c>
      <c r="Z29" s="93">
        <f>88.56+24.63</f>
        <v>113.19</v>
      </c>
      <c r="AA29" s="93">
        <v>90.28</v>
      </c>
      <c r="AB29" s="93">
        <v>134.05000000000001</v>
      </c>
      <c r="AC29" s="93">
        <f>302.19+14.75</f>
        <v>316.94</v>
      </c>
      <c r="AD29" s="93">
        <v>205.7</v>
      </c>
      <c r="AE29" s="93"/>
      <c r="AF29" s="93">
        <v>157.15</v>
      </c>
      <c r="AG29" s="93">
        <f>107.44+17.55</f>
        <v>124.99</v>
      </c>
      <c r="AH29" s="99">
        <f>108.26+28.91</f>
        <v>137.17000000000002</v>
      </c>
    </row>
    <row r="30" spans="1:34" s="36" customFormat="1" ht="22.5" customHeight="1" x14ac:dyDescent="0.25">
      <c r="A30" s="25"/>
      <c r="B30" s="37" t="s">
        <v>86</v>
      </c>
      <c r="C30" s="35" t="s">
        <v>87</v>
      </c>
      <c r="D30" s="28">
        <f t="shared" si="1"/>
        <v>0</v>
      </c>
      <c r="E30" s="28"/>
      <c r="F30" s="28"/>
      <c r="G30" s="28"/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99">
        <v>0</v>
      </c>
    </row>
    <row r="31" spans="1:34" s="19" customFormat="1" ht="15" customHeight="1" x14ac:dyDescent="0.25">
      <c r="A31" s="20" t="s">
        <v>88</v>
      </c>
      <c r="B31" s="21" t="s">
        <v>89</v>
      </c>
      <c r="C31" s="22" t="s">
        <v>90</v>
      </c>
      <c r="D31" s="23">
        <f t="shared" si="1"/>
        <v>186.24599999999998</v>
      </c>
      <c r="E31" s="23">
        <f>D31/$D$10*100</f>
        <v>0.18410497967513978</v>
      </c>
      <c r="F31" s="23">
        <v>346.4778</v>
      </c>
      <c r="G31" s="23"/>
      <c r="H31" s="24">
        <v>4.0599999999999996</v>
      </c>
      <c r="I31" s="24">
        <v>22.98</v>
      </c>
      <c r="J31" s="24">
        <v>12.02</v>
      </c>
      <c r="K31" s="24">
        <v>6.03</v>
      </c>
      <c r="L31" s="92">
        <f>0.72-0.034</f>
        <v>0.68599999999999994</v>
      </c>
      <c r="M31" s="24">
        <v>16.86</v>
      </c>
      <c r="N31" s="24">
        <v>0</v>
      </c>
      <c r="O31" s="24">
        <v>4.6399999999999997</v>
      </c>
      <c r="P31" s="24">
        <v>7.41</v>
      </c>
      <c r="Q31" s="24">
        <v>3.71</v>
      </c>
      <c r="R31" s="24">
        <v>22.19</v>
      </c>
      <c r="S31" s="24">
        <v>21.7</v>
      </c>
      <c r="T31" s="24">
        <v>16.12</v>
      </c>
      <c r="U31" s="24">
        <v>10.220000000000001</v>
      </c>
      <c r="V31" s="24">
        <v>9.1</v>
      </c>
      <c r="W31" s="24">
        <v>0.7</v>
      </c>
      <c r="X31" s="24">
        <v>11.01</v>
      </c>
      <c r="Y31" s="24">
        <v>0.56000000000000005</v>
      </c>
      <c r="Z31" s="24">
        <v>5.83</v>
      </c>
      <c r="AA31" s="24">
        <v>0.85</v>
      </c>
      <c r="AB31" s="24">
        <v>0.11</v>
      </c>
      <c r="AC31" s="24">
        <v>0.89</v>
      </c>
      <c r="AD31" s="24">
        <v>0.98</v>
      </c>
      <c r="AE31" s="24">
        <v>0.92999999999999994</v>
      </c>
      <c r="AF31" s="24">
        <v>0.59</v>
      </c>
      <c r="AG31" s="24">
        <v>3.05</v>
      </c>
      <c r="AH31" s="82">
        <v>3.02</v>
      </c>
    </row>
    <row r="32" spans="1:34" s="43" customFormat="1" ht="15" hidden="1" customHeight="1" x14ac:dyDescent="0.25">
      <c r="A32" s="38" t="s">
        <v>91</v>
      </c>
      <c r="B32" s="39" t="s">
        <v>92</v>
      </c>
      <c r="C32" s="40" t="s">
        <v>93</v>
      </c>
      <c r="D32" s="41">
        <f t="shared" si="1"/>
        <v>0</v>
      </c>
      <c r="E32" s="41"/>
      <c r="F32" s="41">
        <v>0</v>
      </c>
      <c r="G32" s="41"/>
      <c r="H32" s="10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03"/>
    </row>
    <row r="33" spans="1:34" s="50" customFormat="1" ht="15" customHeight="1" x14ac:dyDescent="0.25">
      <c r="A33" s="44" t="s">
        <v>91</v>
      </c>
      <c r="B33" s="45" t="s">
        <v>94</v>
      </c>
      <c r="C33" s="46" t="s">
        <v>95</v>
      </c>
      <c r="D33" s="47">
        <f t="shared" si="1"/>
        <v>7.36</v>
      </c>
      <c r="E33" s="47">
        <f>D33/$D$10*100</f>
        <v>7.2753919569227199E-3</v>
      </c>
      <c r="F33" s="47">
        <v>0</v>
      </c>
      <c r="G33" s="47"/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6.74</v>
      </c>
      <c r="U33" s="94">
        <v>0</v>
      </c>
      <c r="V33" s="94">
        <v>0.62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104">
        <v>0</v>
      </c>
    </row>
    <row r="34" spans="1:34" s="19" customFormat="1" ht="15" customHeight="1" x14ac:dyDescent="0.25">
      <c r="A34" s="16">
        <v>2</v>
      </c>
      <c r="B34" s="17" t="s">
        <v>96</v>
      </c>
      <c r="C34" s="18" t="s">
        <v>97</v>
      </c>
      <c r="D34" s="13">
        <f t="shared" si="1"/>
        <v>7348.8224000000009</v>
      </c>
      <c r="E34" s="13">
        <f>D34/$D$9*100</f>
        <v>5.9614270868254939</v>
      </c>
      <c r="F34" s="13">
        <v>3154.814366666667</v>
      </c>
      <c r="G34" s="13"/>
      <c r="H34" s="14">
        <f>H35+H36+H37+H38+H39+H40+H41+H42+H43+H60+H61+H62+H63+H64+H65+H66+H67+H68+H69+H70+H71</f>
        <v>323.42</v>
      </c>
      <c r="I34" s="14">
        <f t="shared" ref="I34:AH34" si="8">I35+I36+I37+I38+I39+I40+I41+I42+I43+I60+I61+I62+I63+I64+I65+I66+I67+I68+I69+I70+I71</f>
        <v>376.40000000000003</v>
      </c>
      <c r="J34" s="14">
        <f t="shared" si="8"/>
        <v>320.10000000000002</v>
      </c>
      <c r="K34" s="14">
        <f t="shared" si="8"/>
        <v>232.66000000000003</v>
      </c>
      <c r="L34" s="14">
        <f t="shared" si="8"/>
        <v>201.38659999999999</v>
      </c>
      <c r="M34" s="14">
        <f t="shared" si="8"/>
        <v>116.76</v>
      </c>
      <c r="N34" s="14">
        <f t="shared" si="8"/>
        <v>83.429999999999993</v>
      </c>
      <c r="O34" s="14">
        <f t="shared" si="8"/>
        <v>248.91000000000003</v>
      </c>
      <c r="P34" s="14">
        <f t="shared" si="8"/>
        <v>127.49</v>
      </c>
      <c r="Q34" s="14">
        <f t="shared" si="8"/>
        <v>77.59</v>
      </c>
      <c r="R34" s="14">
        <f t="shared" si="8"/>
        <v>110.14999999999999</v>
      </c>
      <c r="S34" s="14">
        <f t="shared" si="8"/>
        <v>126.71000000000001</v>
      </c>
      <c r="T34" s="14">
        <f t="shared" si="8"/>
        <v>189.01999999999998</v>
      </c>
      <c r="U34" s="14">
        <f t="shared" si="8"/>
        <v>142.99580000000003</v>
      </c>
      <c r="V34" s="14">
        <f t="shared" si="8"/>
        <v>174.74</v>
      </c>
      <c r="W34" s="14">
        <f t="shared" si="8"/>
        <v>310.70999999999998</v>
      </c>
      <c r="X34" s="14">
        <f t="shared" si="8"/>
        <v>313.20000000000005</v>
      </c>
      <c r="Y34" s="14">
        <f t="shared" si="8"/>
        <v>300.97999999999996</v>
      </c>
      <c r="Z34" s="14">
        <f t="shared" si="8"/>
        <v>85.960000000000008</v>
      </c>
      <c r="AA34" s="14">
        <f t="shared" si="8"/>
        <v>681.69</v>
      </c>
      <c r="AB34" s="14">
        <f t="shared" si="8"/>
        <v>633.99</v>
      </c>
      <c r="AC34" s="14">
        <f t="shared" si="8"/>
        <v>448.97</v>
      </c>
      <c r="AD34" s="14">
        <f t="shared" si="8"/>
        <v>738.46999999999991</v>
      </c>
      <c r="AE34" s="14">
        <f t="shared" si="8"/>
        <v>486.15000000000003</v>
      </c>
      <c r="AF34" s="14">
        <f t="shared" si="8"/>
        <v>284.28999999999996</v>
      </c>
      <c r="AG34" s="14">
        <f t="shared" si="8"/>
        <v>97.72</v>
      </c>
      <c r="AH34" s="15">
        <f t="shared" si="8"/>
        <v>114.93000000000002</v>
      </c>
    </row>
    <row r="35" spans="1:34" s="19" customFormat="1" ht="15" customHeight="1" x14ac:dyDescent="0.25">
      <c r="A35" s="20" t="s">
        <v>98</v>
      </c>
      <c r="B35" s="21" t="s">
        <v>99</v>
      </c>
      <c r="C35" s="22" t="s">
        <v>100</v>
      </c>
      <c r="D35" s="23">
        <f t="shared" si="1"/>
        <v>85.87</v>
      </c>
      <c r="E35" s="23">
        <f t="shared" ref="E35:E43" si="9">D35/$D$34*100</f>
        <v>1.1684865319374163</v>
      </c>
      <c r="F35" s="23">
        <v>110.99109999999999</v>
      </c>
      <c r="G35" s="23"/>
      <c r="H35" s="24">
        <v>84.28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0.84</v>
      </c>
      <c r="O35" s="24">
        <v>0</v>
      </c>
      <c r="P35" s="24">
        <v>0.75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82">
        <v>0</v>
      </c>
    </row>
    <row r="36" spans="1:34" s="19" customFormat="1" ht="15" customHeight="1" x14ac:dyDescent="0.25">
      <c r="A36" s="20" t="s">
        <v>101</v>
      </c>
      <c r="B36" s="21" t="s">
        <v>102</v>
      </c>
      <c r="C36" s="22" t="s">
        <v>103</v>
      </c>
      <c r="D36" s="23">
        <f t="shared" si="1"/>
        <v>425.30000000000007</v>
      </c>
      <c r="E36" s="23">
        <f t="shared" si="9"/>
        <v>5.787321789134543</v>
      </c>
      <c r="F36" s="23">
        <v>0.64070000000000005</v>
      </c>
      <c r="G36" s="23"/>
      <c r="H36" s="24">
        <v>0</v>
      </c>
      <c r="I36" s="24">
        <v>113.08</v>
      </c>
      <c r="J36" s="24">
        <v>82.29</v>
      </c>
      <c r="K36" s="24">
        <v>145.08000000000001</v>
      </c>
      <c r="L36" s="24">
        <v>0</v>
      </c>
      <c r="M36" s="24">
        <v>0</v>
      </c>
      <c r="N36" s="24">
        <v>0.35</v>
      </c>
      <c r="O36" s="24">
        <v>82.25</v>
      </c>
      <c r="P36" s="24">
        <v>2.25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82">
        <v>0</v>
      </c>
    </row>
    <row r="37" spans="1:34" s="19" customFormat="1" ht="15" customHeight="1" x14ac:dyDescent="0.25">
      <c r="A37" s="20" t="s">
        <v>104</v>
      </c>
      <c r="B37" s="21" t="s">
        <v>105</v>
      </c>
      <c r="C37" s="22" t="s">
        <v>106</v>
      </c>
      <c r="D37" s="23">
        <f t="shared" si="1"/>
        <v>0</v>
      </c>
      <c r="E37" s="23">
        <f t="shared" si="9"/>
        <v>0</v>
      </c>
      <c r="F37" s="23">
        <v>0</v>
      </c>
      <c r="G37" s="23"/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105">
        <v>0</v>
      </c>
    </row>
    <row r="38" spans="1:34" s="19" customFormat="1" ht="15" customHeight="1" x14ac:dyDescent="0.25">
      <c r="A38" s="20">
        <v>2.4</v>
      </c>
      <c r="B38" s="21" t="s">
        <v>107</v>
      </c>
      <c r="C38" s="22" t="s">
        <v>108</v>
      </c>
      <c r="D38" s="23">
        <f t="shared" si="1"/>
        <v>22.61</v>
      </c>
      <c r="E38" s="23">
        <f t="shared" si="9"/>
        <v>0.30766834152911349</v>
      </c>
      <c r="F38" s="23">
        <v>0</v>
      </c>
      <c r="G38" s="23"/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/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24">
        <v>22.61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82">
        <v>0</v>
      </c>
    </row>
    <row r="39" spans="1:34" s="19" customFormat="1" ht="15" customHeight="1" x14ac:dyDescent="0.25">
      <c r="A39" s="20">
        <v>2.5</v>
      </c>
      <c r="B39" s="21" t="s">
        <v>109</v>
      </c>
      <c r="C39" s="22" t="s">
        <v>110</v>
      </c>
      <c r="D39" s="23">
        <f t="shared" si="1"/>
        <v>7.8</v>
      </c>
      <c r="E39" s="23">
        <f t="shared" si="9"/>
        <v>0.10613945439748276</v>
      </c>
      <c r="F39" s="23">
        <v>5.0200000000000002E-2</v>
      </c>
      <c r="G39" s="23"/>
      <c r="H39" s="24">
        <v>0.15</v>
      </c>
      <c r="I39" s="51">
        <v>0</v>
      </c>
      <c r="J39" s="51">
        <v>1.06</v>
      </c>
      <c r="K39" s="51">
        <v>0</v>
      </c>
      <c r="L39" s="24">
        <v>0</v>
      </c>
      <c r="M39" s="24">
        <v>0</v>
      </c>
      <c r="N39" s="91">
        <v>2.08</v>
      </c>
      <c r="O39" s="24">
        <v>2.59</v>
      </c>
      <c r="P39" s="91">
        <v>0</v>
      </c>
      <c r="Q39" s="24">
        <v>0</v>
      </c>
      <c r="R39" s="24">
        <v>0</v>
      </c>
      <c r="S39" s="24">
        <v>0</v>
      </c>
      <c r="T39" s="24">
        <v>1.34</v>
      </c>
      <c r="U39" s="24">
        <v>0</v>
      </c>
      <c r="V39" s="24">
        <v>0</v>
      </c>
      <c r="W39" s="24">
        <v>0.12</v>
      </c>
      <c r="X39" s="24">
        <v>0</v>
      </c>
      <c r="Y39" s="24">
        <v>0</v>
      </c>
      <c r="Z39" s="24">
        <v>0</v>
      </c>
      <c r="AA39" s="24">
        <v>0</v>
      </c>
      <c r="AB39" s="24">
        <v>0.1</v>
      </c>
      <c r="AC39" s="24">
        <v>0.36</v>
      </c>
      <c r="AD39" s="24">
        <v>0</v>
      </c>
      <c r="AE39" s="24">
        <v>0</v>
      </c>
      <c r="AF39" s="24">
        <v>0</v>
      </c>
      <c r="AG39" s="24">
        <v>0</v>
      </c>
      <c r="AH39" s="82">
        <v>0</v>
      </c>
    </row>
    <row r="40" spans="1:34" s="19" customFormat="1" ht="15" customHeight="1" x14ac:dyDescent="0.25">
      <c r="A40" s="20">
        <v>2.6</v>
      </c>
      <c r="B40" s="21" t="s">
        <v>111</v>
      </c>
      <c r="C40" s="22" t="s">
        <v>112</v>
      </c>
      <c r="D40" s="23">
        <f t="shared" si="1"/>
        <v>10.86</v>
      </c>
      <c r="E40" s="23">
        <f t="shared" si="9"/>
        <v>0.14777877881495677</v>
      </c>
      <c r="F40" s="23">
        <v>10.0009</v>
      </c>
      <c r="G40" s="23"/>
      <c r="H40" s="51"/>
      <c r="I40" s="24">
        <v>1.18</v>
      </c>
      <c r="J40" s="24">
        <v>0</v>
      </c>
      <c r="K40" s="24">
        <v>0</v>
      </c>
      <c r="L40" s="24">
        <v>0</v>
      </c>
      <c r="M40" s="24">
        <v>0.15</v>
      </c>
      <c r="N40" s="24">
        <v>0.68</v>
      </c>
      <c r="O40" s="24">
        <v>0.57999999999999996</v>
      </c>
      <c r="P40" s="24">
        <v>0</v>
      </c>
      <c r="Q40" s="24">
        <v>0</v>
      </c>
      <c r="R40" s="24">
        <v>1.33</v>
      </c>
      <c r="S40" s="24">
        <v>0</v>
      </c>
      <c r="T40" s="24">
        <v>3.43</v>
      </c>
      <c r="U40" s="24">
        <v>0</v>
      </c>
      <c r="V40" s="24">
        <v>0.4</v>
      </c>
      <c r="W40" s="24">
        <v>0</v>
      </c>
      <c r="X40" s="24">
        <v>0.87</v>
      </c>
      <c r="Y40" s="24">
        <v>0</v>
      </c>
      <c r="Z40" s="24">
        <v>0</v>
      </c>
      <c r="AA40" s="24">
        <v>0</v>
      </c>
      <c r="AB40" s="24">
        <v>0.17</v>
      </c>
      <c r="AC40" s="24">
        <v>0</v>
      </c>
      <c r="AD40" s="24">
        <v>2.0699999999999998</v>
      </c>
      <c r="AE40" s="24">
        <v>0</v>
      </c>
      <c r="AF40" s="24">
        <v>0</v>
      </c>
      <c r="AG40" s="24">
        <v>0</v>
      </c>
      <c r="AH40" s="82">
        <v>0</v>
      </c>
    </row>
    <row r="41" spans="1:34" s="19" customFormat="1" ht="15" customHeight="1" x14ac:dyDescent="0.25">
      <c r="A41" s="20">
        <v>2.7</v>
      </c>
      <c r="B41" s="21" t="s">
        <v>113</v>
      </c>
      <c r="C41" s="22" t="s">
        <v>114</v>
      </c>
      <c r="D41" s="23">
        <f t="shared" si="1"/>
        <v>50.2</v>
      </c>
      <c r="E41" s="23">
        <f t="shared" si="9"/>
        <v>0.68310264240431218</v>
      </c>
      <c r="F41" s="23">
        <v>52.304699999999997</v>
      </c>
      <c r="G41" s="23"/>
      <c r="H41" s="24">
        <v>0</v>
      </c>
      <c r="I41" s="51">
        <v>4.8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5.56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0.84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24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15</v>
      </c>
      <c r="AH41" s="82">
        <v>0</v>
      </c>
    </row>
    <row r="42" spans="1:34" ht="15" customHeight="1" x14ac:dyDescent="0.25">
      <c r="A42" s="20">
        <v>2.8</v>
      </c>
      <c r="B42" s="21" t="s">
        <v>115</v>
      </c>
      <c r="C42" s="22" t="s">
        <v>116</v>
      </c>
      <c r="D42" s="23">
        <f t="shared" si="1"/>
        <v>17.079999999999998</v>
      </c>
      <c r="E42" s="23">
        <f t="shared" si="9"/>
        <v>0.23241818988576995</v>
      </c>
      <c r="F42" s="23">
        <v>11.108600000000001</v>
      </c>
      <c r="G42" s="23"/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06">
        <v>0.91</v>
      </c>
      <c r="N42" s="48">
        <v>0</v>
      </c>
      <c r="O42" s="48">
        <v>10.08</v>
      </c>
      <c r="P42" s="48">
        <v>0.11</v>
      </c>
      <c r="Q42" s="48">
        <v>0</v>
      </c>
      <c r="R42" s="48">
        <v>3.9</v>
      </c>
      <c r="S42" s="24">
        <v>0</v>
      </c>
      <c r="T42" s="24">
        <v>0</v>
      </c>
      <c r="U42" s="24">
        <v>0.08</v>
      </c>
      <c r="V42" s="24">
        <v>0</v>
      </c>
      <c r="W42" s="24">
        <v>0</v>
      </c>
      <c r="X42" s="24">
        <v>2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82">
        <v>0</v>
      </c>
    </row>
    <row r="43" spans="1:34" s="19" customFormat="1" ht="30" customHeight="1" x14ac:dyDescent="0.25">
      <c r="A43" s="20">
        <v>2.9</v>
      </c>
      <c r="B43" s="21" t="s">
        <v>117</v>
      </c>
      <c r="C43" s="22" t="s">
        <v>118</v>
      </c>
      <c r="D43" s="23">
        <f t="shared" si="1"/>
        <v>1632.5255000000002</v>
      </c>
      <c r="E43" s="23">
        <f t="shared" si="9"/>
        <v>22.214790494868947</v>
      </c>
      <c r="F43" s="23">
        <v>1275.4299999999998</v>
      </c>
      <c r="G43" s="23"/>
      <c r="H43" s="51">
        <f>SUM(H44:H59)</f>
        <v>171.82</v>
      </c>
      <c r="I43" s="51">
        <f t="shared" ref="I43:AH43" si="10">SUM(I44:I59)</f>
        <v>125.67000000000002</v>
      </c>
      <c r="J43" s="51">
        <f t="shared" si="10"/>
        <v>135.82</v>
      </c>
      <c r="K43" s="51">
        <f t="shared" si="10"/>
        <v>24.64</v>
      </c>
      <c r="L43" s="51">
        <f t="shared" si="10"/>
        <v>96.599699999999999</v>
      </c>
      <c r="M43" s="51">
        <f t="shared" si="10"/>
        <v>50.94</v>
      </c>
      <c r="N43" s="51">
        <f t="shared" si="10"/>
        <v>35.130000000000003</v>
      </c>
      <c r="O43" s="51">
        <f t="shared" si="10"/>
        <v>62.840000000000011</v>
      </c>
      <c r="P43" s="51">
        <f t="shared" si="10"/>
        <v>49.969999999999992</v>
      </c>
      <c r="Q43" s="51">
        <f t="shared" si="10"/>
        <v>35.69</v>
      </c>
      <c r="R43" s="51">
        <f t="shared" si="10"/>
        <v>48.44</v>
      </c>
      <c r="S43" s="51">
        <f t="shared" si="10"/>
        <v>65.14</v>
      </c>
      <c r="T43" s="51">
        <f t="shared" si="10"/>
        <v>72.189999999999984</v>
      </c>
      <c r="U43" s="51">
        <f t="shared" si="10"/>
        <v>71.975800000000007</v>
      </c>
      <c r="V43" s="51">
        <f t="shared" si="10"/>
        <v>71.559999999999988</v>
      </c>
      <c r="W43" s="51">
        <f t="shared" si="10"/>
        <v>12.879999999999999</v>
      </c>
      <c r="X43" s="51">
        <f t="shared" si="10"/>
        <v>48.42</v>
      </c>
      <c r="Y43" s="51">
        <f t="shared" si="10"/>
        <v>18.32</v>
      </c>
      <c r="Z43" s="51">
        <f t="shared" si="10"/>
        <v>23.37</v>
      </c>
      <c r="AA43" s="51">
        <f t="shared" si="10"/>
        <v>34.97</v>
      </c>
      <c r="AB43" s="51">
        <f t="shared" si="10"/>
        <v>22.900000000000006</v>
      </c>
      <c r="AC43" s="51">
        <f t="shared" si="10"/>
        <v>27.280000000000005</v>
      </c>
      <c r="AD43" s="51">
        <f t="shared" si="10"/>
        <v>39.33</v>
      </c>
      <c r="AE43" s="51">
        <f t="shared" si="10"/>
        <v>21.840000000000003</v>
      </c>
      <c r="AF43" s="51">
        <f t="shared" si="10"/>
        <v>174.89</v>
      </c>
      <c r="AG43" s="51">
        <f t="shared" si="10"/>
        <v>41.959999999999994</v>
      </c>
      <c r="AH43" s="52">
        <f t="shared" si="10"/>
        <v>47.940000000000005</v>
      </c>
    </row>
    <row r="44" spans="1:34" s="55" customFormat="1" ht="15" customHeight="1" x14ac:dyDescent="0.25">
      <c r="A44" s="25" t="s">
        <v>119</v>
      </c>
      <c r="B44" s="107" t="s">
        <v>120</v>
      </c>
      <c r="C44" s="27" t="s">
        <v>121</v>
      </c>
      <c r="D44" s="28">
        <f t="shared" si="1"/>
        <v>920.86970000000008</v>
      </c>
      <c r="E44" s="28">
        <f t="shared" ref="E44:E52" si="11">D44/$D$43*100</f>
        <v>56.407676327261044</v>
      </c>
      <c r="F44" s="54">
        <v>963.30399999999997</v>
      </c>
      <c r="G44" s="54">
        <f t="shared" ref="G44:G52" si="12">D44/$D$43*100</f>
        <v>56.407676327261044</v>
      </c>
      <c r="H44" s="108">
        <v>39.89</v>
      </c>
      <c r="I44" s="109">
        <v>95.51</v>
      </c>
      <c r="J44" s="109">
        <v>106.66</v>
      </c>
      <c r="K44" s="109">
        <v>14.13</v>
      </c>
      <c r="L44" s="56">
        <f>42.57+24-0.0003</f>
        <v>66.569699999999997</v>
      </c>
      <c r="M44" s="85">
        <v>31</v>
      </c>
      <c r="N44" s="85">
        <v>22.39</v>
      </c>
      <c r="O44" s="86">
        <f>37.28+1.06+0.02</f>
        <v>38.360000000000007</v>
      </c>
      <c r="P44" s="86">
        <v>28.47</v>
      </c>
      <c r="Q44" s="85">
        <v>29.06</v>
      </c>
      <c r="R44" s="86">
        <v>29.35</v>
      </c>
      <c r="S44" s="85">
        <v>35.270000000000003</v>
      </c>
      <c r="T44" s="86">
        <v>50.29</v>
      </c>
      <c r="U44" s="86">
        <v>37.880000000000003</v>
      </c>
      <c r="V44" s="86">
        <v>39.44</v>
      </c>
      <c r="W44" s="86">
        <v>7.91</v>
      </c>
      <c r="X44" s="86">
        <v>30</v>
      </c>
      <c r="Y44" s="86">
        <v>13.13</v>
      </c>
      <c r="Z44" s="86">
        <v>11.02</v>
      </c>
      <c r="AA44" s="86">
        <v>21.21</v>
      </c>
      <c r="AB44" s="86">
        <v>18.8</v>
      </c>
      <c r="AC44" s="86">
        <v>23.32</v>
      </c>
      <c r="AD44" s="86">
        <v>18.21</v>
      </c>
      <c r="AE44" s="86">
        <v>17.29</v>
      </c>
      <c r="AF44" s="86">
        <v>32.61</v>
      </c>
      <c r="AG44" s="86">
        <v>21.02</v>
      </c>
      <c r="AH44" s="110">
        <v>42.08</v>
      </c>
    </row>
    <row r="45" spans="1:34" s="55" customFormat="1" ht="15" customHeight="1" x14ac:dyDescent="0.25">
      <c r="A45" s="25" t="s">
        <v>122</v>
      </c>
      <c r="B45" s="107" t="s">
        <v>123</v>
      </c>
      <c r="C45" s="27" t="s">
        <v>124</v>
      </c>
      <c r="D45" s="28">
        <f t="shared" si="1"/>
        <v>128.52000000000001</v>
      </c>
      <c r="E45" s="28">
        <f t="shared" si="11"/>
        <v>7.8724650855377138</v>
      </c>
      <c r="F45" s="54">
        <v>114.97410000000001</v>
      </c>
      <c r="G45" s="54">
        <f t="shared" si="12"/>
        <v>7.8724650855377138</v>
      </c>
      <c r="H45" s="84">
        <v>66.459999999999994</v>
      </c>
      <c r="I45" s="85">
        <v>3.01</v>
      </c>
      <c r="J45" s="85">
        <v>2.78</v>
      </c>
      <c r="K45" s="85">
        <v>0.15</v>
      </c>
      <c r="L45" s="85">
        <v>0</v>
      </c>
      <c r="M45" s="85">
        <v>0</v>
      </c>
      <c r="N45" s="85">
        <v>0.62</v>
      </c>
      <c r="O45" s="86">
        <f>2.96-0.02</f>
        <v>2.94</v>
      </c>
      <c r="P45" s="85">
        <v>5.3</v>
      </c>
      <c r="Q45" s="85">
        <v>2.83</v>
      </c>
      <c r="R45" s="85">
        <v>6.12</v>
      </c>
      <c r="S45" s="85">
        <v>6.57</v>
      </c>
      <c r="T45" s="85">
        <v>6.8</v>
      </c>
      <c r="U45" s="85">
        <v>10.029999999999999</v>
      </c>
      <c r="V45" s="85">
        <v>6.13</v>
      </c>
      <c r="W45" s="85">
        <v>0</v>
      </c>
      <c r="X45" s="85">
        <v>5.66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2.5099999999999998</v>
      </c>
      <c r="AG45" s="85">
        <v>0</v>
      </c>
      <c r="AH45" s="87">
        <v>0.61</v>
      </c>
    </row>
    <row r="46" spans="1:34" s="55" customFormat="1" ht="15" customHeight="1" x14ac:dyDescent="0.25">
      <c r="A46" s="25" t="s">
        <v>125</v>
      </c>
      <c r="B46" s="107" t="s">
        <v>126</v>
      </c>
      <c r="C46" s="27" t="s">
        <v>127</v>
      </c>
      <c r="D46" s="28">
        <f t="shared" si="1"/>
        <v>14.500000000000005</v>
      </c>
      <c r="E46" s="28">
        <f t="shared" si="11"/>
        <v>0.88819439573838233</v>
      </c>
      <c r="F46" s="54">
        <v>0.4839</v>
      </c>
      <c r="G46" s="54">
        <f t="shared" si="12"/>
        <v>0.88819439573838233</v>
      </c>
      <c r="H46" s="84">
        <v>0.8</v>
      </c>
      <c r="I46" s="109">
        <v>0.73</v>
      </c>
      <c r="J46" s="109">
        <v>0.49</v>
      </c>
      <c r="K46" s="109">
        <v>0.85</v>
      </c>
      <c r="L46" s="85">
        <v>0.63</v>
      </c>
      <c r="M46" s="85">
        <v>1.01</v>
      </c>
      <c r="N46" s="85">
        <v>1.56</v>
      </c>
      <c r="O46" s="85">
        <v>0.43</v>
      </c>
      <c r="P46" s="85">
        <v>0.36</v>
      </c>
      <c r="Q46" s="85">
        <v>0.21</v>
      </c>
      <c r="R46" s="85">
        <v>0.17</v>
      </c>
      <c r="S46" s="85">
        <v>0.22</v>
      </c>
      <c r="T46" s="85">
        <v>0.41</v>
      </c>
      <c r="U46" s="85">
        <v>1.43</v>
      </c>
      <c r="V46" s="85">
        <v>1.1499999999999999</v>
      </c>
      <c r="W46" s="85">
        <v>0.14000000000000001</v>
      </c>
      <c r="X46" s="85">
        <v>0.89</v>
      </c>
      <c r="Y46" s="85">
        <v>0.16</v>
      </c>
      <c r="Z46" s="85">
        <v>0.39</v>
      </c>
      <c r="AA46" s="85">
        <v>0.14000000000000001</v>
      </c>
      <c r="AB46" s="85">
        <v>0.1</v>
      </c>
      <c r="AC46" s="85">
        <v>0.71</v>
      </c>
      <c r="AD46" s="85">
        <v>0.22</v>
      </c>
      <c r="AE46" s="85">
        <v>0.42</v>
      </c>
      <c r="AF46" s="85">
        <v>0.26</v>
      </c>
      <c r="AG46" s="85">
        <v>0.22</v>
      </c>
      <c r="AH46" s="87">
        <v>0.4</v>
      </c>
    </row>
    <row r="47" spans="1:34" s="55" customFormat="1" ht="15" customHeight="1" x14ac:dyDescent="0.25">
      <c r="A47" s="25" t="s">
        <v>128</v>
      </c>
      <c r="B47" s="107" t="s">
        <v>129</v>
      </c>
      <c r="C47" s="27" t="s">
        <v>130</v>
      </c>
      <c r="D47" s="28">
        <f t="shared" si="1"/>
        <v>6.3599999999999994</v>
      </c>
      <c r="E47" s="28">
        <f t="shared" si="11"/>
        <v>0.3895804384066282</v>
      </c>
      <c r="F47" s="54">
        <v>5.0868000000000002</v>
      </c>
      <c r="G47" s="54">
        <f t="shared" si="12"/>
        <v>0.3895804384066282</v>
      </c>
      <c r="H47" s="84">
        <v>0.23</v>
      </c>
      <c r="I47" s="109">
        <v>0.08</v>
      </c>
      <c r="J47" s="109">
        <v>0.65</v>
      </c>
      <c r="K47" s="109">
        <v>0.08</v>
      </c>
      <c r="L47" s="85">
        <v>0.17</v>
      </c>
      <c r="M47" s="85">
        <v>0.84</v>
      </c>
      <c r="N47" s="85">
        <v>1.32</v>
      </c>
      <c r="O47" s="85">
        <v>0.1</v>
      </c>
      <c r="P47" s="85">
        <v>0.05</v>
      </c>
      <c r="Q47" s="85">
        <v>0.04</v>
      </c>
      <c r="R47" s="85">
        <v>7.0000000000000007E-2</v>
      </c>
      <c r="S47" s="85">
        <v>0.22</v>
      </c>
      <c r="T47" s="85">
        <v>0.08</v>
      </c>
      <c r="U47" s="85">
        <v>0.16</v>
      </c>
      <c r="V47" s="85">
        <v>0.16</v>
      </c>
      <c r="W47" s="85">
        <v>7.0000000000000007E-2</v>
      </c>
      <c r="X47" s="85">
        <v>0.31</v>
      </c>
      <c r="Y47" s="85">
        <v>0.1</v>
      </c>
      <c r="Z47" s="85">
        <v>0.13</v>
      </c>
      <c r="AA47" s="85">
        <v>0.15</v>
      </c>
      <c r="AB47" s="85">
        <v>0.46</v>
      </c>
      <c r="AC47" s="85">
        <v>0.1</v>
      </c>
      <c r="AD47" s="85">
        <v>0.14000000000000001</v>
      </c>
      <c r="AE47" s="85">
        <v>0.3</v>
      </c>
      <c r="AF47" s="85">
        <v>7.0000000000000007E-2</v>
      </c>
      <c r="AG47" s="85">
        <v>0.04</v>
      </c>
      <c r="AH47" s="87">
        <v>0.24</v>
      </c>
    </row>
    <row r="48" spans="1:34" s="55" customFormat="1" ht="15" customHeight="1" x14ac:dyDescent="0.25">
      <c r="A48" s="25" t="s">
        <v>131</v>
      </c>
      <c r="B48" s="107" t="s">
        <v>132</v>
      </c>
      <c r="C48" s="27" t="s">
        <v>133</v>
      </c>
      <c r="D48" s="28">
        <f t="shared" si="1"/>
        <v>71.769999999999982</v>
      </c>
      <c r="E48" s="28">
        <f t="shared" si="11"/>
        <v>4.3962559849754248</v>
      </c>
      <c r="F48" s="54">
        <v>73.511799999999994</v>
      </c>
      <c r="G48" s="54">
        <f t="shared" si="12"/>
        <v>4.3962559849754248</v>
      </c>
      <c r="H48" s="84">
        <v>3.6</v>
      </c>
      <c r="I48" s="109">
        <v>3.33</v>
      </c>
      <c r="J48" s="109">
        <v>6.48</v>
      </c>
      <c r="K48" s="109">
        <v>2.27</v>
      </c>
      <c r="L48" s="85">
        <v>3.06</v>
      </c>
      <c r="M48" s="85">
        <v>3.59</v>
      </c>
      <c r="N48" s="85">
        <v>3.72</v>
      </c>
      <c r="O48" s="85">
        <v>1.75</v>
      </c>
      <c r="P48" s="85">
        <v>2.6</v>
      </c>
      <c r="Q48" s="85">
        <v>1.76</v>
      </c>
      <c r="R48" s="85">
        <v>6.87</v>
      </c>
      <c r="S48" s="85">
        <v>1.88</v>
      </c>
      <c r="T48" s="85">
        <v>2.62</v>
      </c>
      <c r="U48" s="85">
        <v>1.95</v>
      </c>
      <c r="V48" s="85">
        <v>4.82</v>
      </c>
      <c r="W48" s="85">
        <v>0.92</v>
      </c>
      <c r="X48" s="85">
        <v>2.21</v>
      </c>
      <c r="Y48" s="85">
        <v>0.9</v>
      </c>
      <c r="Z48" s="85">
        <v>1.86</v>
      </c>
      <c r="AA48" s="85">
        <v>1.47</v>
      </c>
      <c r="AB48" s="85">
        <v>1.43</v>
      </c>
      <c r="AC48" s="85">
        <v>1.26</v>
      </c>
      <c r="AD48" s="85">
        <v>2.94</v>
      </c>
      <c r="AE48" s="85">
        <v>1.38</v>
      </c>
      <c r="AF48" s="85">
        <v>2.2000000000000002</v>
      </c>
      <c r="AG48" s="85">
        <v>1.8</v>
      </c>
      <c r="AH48" s="87">
        <v>3.1</v>
      </c>
    </row>
    <row r="49" spans="1:34" s="57" customFormat="1" ht="15" customHeight="1" x14ac:dyDescent="0.25">
      <c r="A49" s="25" t="s">
        <v>134</v>
      </c>
      <c r="B49" s="107" t="s">
        <v>135</v>
      </c>
      <c r="C49" s="27" t="s">
        <v>136</v>
      </c>
      <c r="D49" s="28">
        <f t="shared" si="1"/>
        <v>1.17</v>
      </c>
      <c r="E49" s="28">
        <f t="shared" si="11"/>
        <v>7.1668099518200468E-2</v>
      </c>
      <c r="F49" s="53">
        <v>2.3109000000000002</v>
      </c>
      <c r="G49" s="53">
        <f t="shared" si="12"/>
        <v>7.1668099518200468E-2</v>
      </c>
      <c r="H49" s="85">
        <v>0</v>
      </c>
      <c r="I49" s="85">
        <v>0</v>
      </c>
      <c r="J49" s="85">
        <v>0</v>
      </c>
      <c r="K49" s="49">
        <v>0</v>
      </c>
      <c r="L49" s="85">
        <v>0</v>
      </c>
      <c r="M49" s="85">
        <v>0</v>
      </c>
      <c r="N49" s="85">
        <v>1.17</v>
      </c>
      <c r="O49" s="85">
        <v>0</v>
      </c>
      <c r="P49" s="85">
        <v>0</v>
      </c>
      <c r="Q49" s="85">
        <v>0</v>
      </c>
      <c r="R49" s="85">
        <v>0</v>
      </c>
      <c r="S49" s="49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7">
        <v>0</v>
      </c>
    </row>
    <row r="50" spans="1:34" s="55" customFormat="1" ht="15" customHeight="1" x14ac:dyDescent="0.25">
      <c r="A50" s="25" t="s">
        <v>137</v>
      </c>
      <c r="B50" s="107" t="s">
        <v>138</v>
      </c>
      <c r="C50" s="27" t="s">
        <v>139</v>
      </c>
      <c r="D50" s="28">
        <f t="shared" si="1"/>
        <v>164.52139999999997</v>
      </c>
      <c r="E50" s="28">
        <f t="shared" si="11"/>
        <v>10.077723135105696</v>
      </c>
      <c r="F50" s="54">
        <v>111.0996</v>
      </c>
      <c r="G50" s="54">
        <f t="shared" si="12"/>
        <v>10.077723135105696</v>
      </c>
      <c r="H50" s="109">
        <v>0.03</v>
      </c>
      <c r="I50" s="109">
        <v>0.5</v>
      </c>
      <c r="J50" s="109">
        <v>0.24</v>
      </c>
      <c r="K50" s="85">
        <v>0</v>
      </c>
      <c r="L50" s="109">
        <v>6.78</v>
      </c>
      <c r="M50" s="85">
        <v>0</v>
      </c>
      <c r="N50" s="109">
        <v>0.3</v>
      </c>
      <c r="O50" s="109">
        <v>0.61</v>
      </c>
      <c r="P50" s="109">
        <v>0.06</v>
      </c>
      <c r="Q50" s="109">
        <v>0</v>
      </c>
      <c r="R50" s="109">
        <v>0.56999999999999995</v>
      </c>
      <c r="S50" s="85">
        <v>0</v>
      </c>
      <c r="T50" s="109">
        <v>0.3</v>
      </c>
      <c r="U50" s="85">
        <v>0.97140000000000004</v>
      </c>
      <c r="V50" s="85">
        <v>0.48</v>
      </c>
      <c r="W50" s="85">
        <v>0.02</v>
      </c>
      <c r="X50" s="85">
        <v>0.1</v>
      </c>
      <c r="Y50" s="85">
        <v>0</v>
      </c>
      <c r="Z50" s="85">
        <v>2.69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132.38999999999999</v>
      </c>
      <c r="AG50" s="85">
        <v>18.41</v>
      </c>
      <c r="AH50" s="87">
        <v>7.0000000000000007E-2</v>
      </c>
    </row>
    <row r="51" spans="1:34" s="55" customFormat="1" ht="15" customHeight="1" x14ac:dyDescent="0.25">
      <c r="A51" s="25" t="s">
        <v>140</v>
      </c>
      <c r="B51" s="107" t="s">
        <v>141</v>
      </c>
      <c r="C51" s="27" t="s">
        <v>142</v>
      </c>
      <c r="D51" s="28">
        <f t="shared" si="1"/>
        <v>1.1500000000000004</v>
      </c>
      <c r="E51" s="28">
        <f t="shared" si="11"/>
        <v>7.0443003799940659E-2</v>
      </c>
      <c r="F51" s="54">
        <v>2.3245</v>
      </c>
      <c r="G51" s="54">
        <f t="shared" si="12"/>
        <v>7.0443003799940659E-2</v>
      </c>
      <c r="H51" s="109">
        <v>0.01</v>
      </c>
      <c r="I51" s="109">
        <v>0.39</v>
      </c>
      <c r="J51" s="109">
        <v>0.04</v>
      </c>
      <c r="K51" s="49">
        <v>0.03</v>
      </c>
      <c r="L51" s="85">
        <v>0</v>
      </c>
      <c r="M51" s="109">
        <v>7.0000000000000007E-2</v>
      </c>
      <c r="N51" s="109">
        <v>0.13</v>
      </c>
      <c r="O51" s="109">
        <v>0.02</v>
      </c>
      <c r="P51" s="49">
        <v>0.01</v>
      </c>
      <c r="Q51" s="109">
        <v>0.01</v>
      </c>
      <c r="R51" s="109">
        <v>0.01</v>
      </c>
      <c r="S51" s="49">
        <v>0.01</v>
      </c>
      <c r="T51" s="109">
        <v>7.0000000000000007E-2</v>
      </c>
      <c r="U51" s="109">
        <v>0.03</v>
      </c>
      <c r="V51" s="109">
        <v>0.02</v>
      </c>
      <c r="W51" s="109">
        <v>0.02</v>
      </c>
      <c r="X51" s="109">
        <v>0.02</v>
      </c>
      <c r="Y51" s="109">
        <v>0.01</v>
      </c>
      <c r="Z51" s="109">
        <v>0.05</v>
      </c>
      <c r="AA51" s="109">
        <v>0.02</v>
      </c>
      <c r="AB51" s="109">
        <v>0.01</v>
      </c>
      <c r="AC51" s="109">
        <v>0.01</v>
      </c>
      <c r="AD51" s="109">
        <v>0.03</v>
      </c>
      <c r="AE51" s="109">
        <v>0.01</v>
      </c>
      <c r="AF51" s="109">
        <v>0.01</v>
      </c>
      <c r="AG51" s="109">
        <v>0.01</v>
      </c>
      <c r="AH51" s="111">
        <v>0.1</v>
      </c>
    </row>
    <row r="52" spans="1:34" s="55" customFormat="1" ht="15" customHeight="1" x14ac:dyDescent="0.25">
      <c r="A52" s="25" t="s">
        <v>143</v>
      </c>
      <c r="B52" s="112" t="s">
        <v>144</v>
      </c>
      <c r="C52" s="27" t="s">
        <v>145</v>
      </c>
      <c r="D52" s="28">
        <f t="shared" si="1"/>
        <v>0</v>
      </c>
      <c r="E52" s="28">
        <f t="shared" si="11"/>
        <v>0</v>
      </c>
      <c r="F52" s="54"/>
      <c r="G52" s="54">
        <f t="shared" si="12"/>
        <v>0</v>
      </c>
      <c r="H52" s="24">
        <v>0</v>
      </c>
      <c r="I52" s="49">
        <v>0</v>
      </c>
      <c r="J52" s="49">
        <v>0</v>
      </c>
      <c r="K52" s="49">
        <v>0</v>
      </c>
      <c r="L52" s="85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85">
        <v>0</v>
      </c>
      <c r="U52" s="85">
        <v>0</v>
      </c>
      <c r="V52" s="85">
        <v>0</v>
      </c>
      <c r="W52" s="85">
        <v>0</v>
      </c>
      <c r="X52" s="85"/>
      <c r="Y52" s="85"/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7">
        <v>0</v>
      </c>
    </row>
    <row r="53" spans="1:34" s="57" customFormat="1" ht="15" customHeight="1" x14ac:dyDescent="0.25">
      <c r="A53" s="25" t="s">
        <v>146</v>
      </c>
      <c r="B53" s="34" t="s">
        <v>147</v>
      </c>
      <c r="C53" s="35" t="s">
        <v>148</v>
      </c>
      <c r="D53" s="28">
        <f t="shared" si="1"/>
        <v>7.03</v>
      </c>
      <c r="E53" s="28">
        <f>D53/$D$34*100</f>
        <v>9.5661585181321007E-2</v>
      </c>
      <c r="F53" s="53">
        <v>57.351999999999997</v>
      </c>
      <c r="G53" s="53"/>
      <c r="H53" s="24">
        <v>0</v>
      </c>
      <c r="I53" s="49">
        <v>0</v>
      </c>
      <c r="J53" s="49">
        <v>0</v>
      </c>
      <c r="K53" s="24">
        <v>0</v>
      </c>
      <c r="L53" s="85">
        <v>0</v>
      </c>
      <c r="M53" s="49">
        <v>0</v>
      </c>
      <c r="N53" s="24">
        <v>0</v>
      </c>
      <c r="O53" s="24">
        <v>0</v>
      </c>
      <c r="P53" s="49">
        <v>0</v>
      </c>
      <c r="Q53" s="49">
        <v>0</v>
      </c>
      <c r="R53" s="49">
        <v>0</v>
      </c>
      <c r="S53" s="24">
        <v>0</v>
      </c>
      <c r="T53" s="24">
        <v>0</v>
      </c>
      <c r="U53" s="24">
        <v>0</v>
      </c>
      <c r="V53" s="24">
        <v>7.03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82">
        <v>0</v>
      </c>
    </row>
    <row r="54" spans="1:34" s="58" customFormat="1" ht="15" customHeight="1" x14ac:dyDescent="0.25">
      <c r="A54" s="25" t="s">
        <v>149</v>
      </c>
      <c r="B54" s="34" t="s">
        <v>150</v>
      </c>
      <c r="C54" s="35" t="s">
        <v>151</v>
      </c>
      <c r="D54" s="28">
        <f t="shared" si="1"/>
        <v>5.98</v>
      </c>
      <c r="E54" s="28">
        <f>D54/$D$34*100</f>
        <v>8.1373581704736797E-2</v>
      </c>
      <c r="F54" s="53">
        <v>14.104399999999996</v>
      </c>
      <c r="G54" s="53"/>
      <c r="H54" s="51">
        <v>4.95</v>
      </c>
      <c r="I54" s="51">
        <v>0</v>
      </c>
      <c r="J54" s="49">
        <v>0</v>
      </c>
      <c r="K54" s="51">
        <v>0</v>
      </c>
      <c r="L54" s="85">
        <v>0</v>
      </c>
      <c r="M54" s="49">
        <v>0</v>
      </c>
      <c r="N54" s="49">
        <v>0</v>
      </c>
      <c r="O54" s="49">
        <v>1.03</v>
      </c>
      <c r="P54" s="49">
        <v>0</v>
      </c>
      <c r="Q54" s="49">
        <v>0</v>
      </c>
      <c r="R54" s="49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2">
        <v>0</v>
      </c>
    </row>
    <row r="55" spans="1:34" s="58" customFormat="1" ht="15" customHeight="1" x14ac:dyDescent="0.25">
      <c r="A55" s="25" t="s">
        <v>152</v>
      </c>
      <c r="B55" s="34" t="s">
        <v>153</v>
      </c>
      <c r="C55" s="35" t="s">
        <v>154</v>
      </c>
      <c r="D55" s="28">
        <f t="shared" si="1"/>
        <v>0</v>
      </c>
      <c r="E55" s="28">
        <f>D55/$D$34*100</f>
        <v>0</v>
      </c>
      <c r="F55" s="53">
        <v>0</v>
      </c>
      <c r="G55" s="53"/>
      <c r="H55" s="49">
        <v>0</v>
      </c>
      <c r="I55" s="49">
        <v>0</v>
      </c>
      <c r="J55" s="49">
        <v>0</v>
      </c>
      <c r="K55" s="49">
        <v>0</v>
      </c>
      <c r="L55" s="85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98">
        <v>0</v>
      </c>
    </row>
    <row r="56" spans="1:34" s="58" customFormat="1" ht="25.5" customHeight="1" x14ac:dyDescent="0.25">
      <c r="A56" s="25" t="s">
        <v>155</v>
      </c>
      <c r="B56" s="34" t="s">
        <v>156</v>
      </c>
      <c r="C56" s="35" t="s">
        <v>157</v>
      </c>
      <c r="D56" s="28">
        <f t="shared" si="1"/>
        <v>257.93439999999993</v>
      </c>
      <c r="E56" s="28">
        <f>D56/$D$34*100</f>
        <v>3.5098739085053938</v>
      </c>
      <c r="F56" s="53">
        <v>374.02840000000003</v>
      </c>
      <c r="G56" s="53"/>
      <c r="H56" s="51">
        <v>7.58</v>
      </c>
      <c r="I56" s="51">
        <v>21.92</v>
      </c>
      <c r="J56" s="51">
        <v>18.48</v>
      </c>
      <c r="K56" s="51">
        <v>7.13</v>
      </c>
      <c r="L56" s="51">
        <v>19.39</v>
      </c>
      <c r="M56" s="94">
        <v>14.4</v>
      </c>
      <c r="N56" s="94">
        <v>0.85</v>
      </c>
      <c r="O56" s="94">
        <v>17.600000000000001</v>
      </c>
      <c r="P56" s="94">
        <v>13.08</v>
      </c>
      <c r="Q56" s="94">
        <v>1.78</v>
      </c>
      <c r="R56" s="94">
        <v>5.28</v>
      </c>
      <c r="S56" s="51">
        <v>20.87</v>
      </c>
      <c r="T56" s="51">
        <v>11.62</v>
      </c>
      <c r="U56" s="51">
        <v>19.5244</v>
      </c>
      <c r="V56" s="51">
        <v>12.12</v>
      </c>
      <c r="W56" s="51">
        <v>3.8</v>
      </c>
      <c r="X56" s="51">
        <v>9.23</v>
      </c>
      <c r="Y56" s="51">
        <v>3.78</v>
      </c>
      <c r="Z56" s="51">
        <v>7.23</v>
      </c>
      <c r="AA56" s="51">
        <v>11.98</v>
      </c>
      <c r="AB56" s="51">
        <v>2</v>
      </c>
      <c r="AC56" s="51">
        <v>1.88</v>
      </c>
      <c r="AD56" s="51">
        <v>17.79</v>
      </c>
      <c r="AE56" s="51">
        <v>2.44</v>
      </c>
      <c r="AF56" s="51">
        <v>4.84</v>
      </c>
      <c r="AG56" s="51">
        <v>0</v>
      </c>
      <c r="AH56" s="52">
        <v>1.34</v>
      </c>
    </row>
    <row r="57" spans="1:34" s="55" customFormat="1" ht="15" customHeight="1" x14ac:dyDescent="0.25">
      <c r="A57" s="25" t="s">
        <v>158</v>
      </c>
      <c r="B57" s="107" t="s">
        <v>159</v>
      </c>
      <c r="C57" s="113" t="s">
        <v>160</v>
      </c>
      <c r="D57" s="23">
        <f t="shared" si="1"/>
        <v>0</v>
      </c>
      <c r="E57" s="23">
        <f>D57/$D$43*100</f>
        <v>0</v>
      </c>
      <c r="F57" s="54">
        <v>0</v>
      </c>
      <c r="G57" s="54">
        <f>D57/$D$43*100</f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98">
        <v>0</v>
      </c>
    </row>
    <row r="58" spans="1:34" s="55" customFormat="1" ht="15" customHeight="1" x14ac:dyDescent="0.25">
      <c r="A58" s="25" t="s">
        <v>161</v>
      </c>
      <c r="B58" s="107" t="s">
        <v>162</v>
      </c>
      <c r="C58" s="113" t="s">
        <v>163</v>
      </c>
      <c r="D58" s="28">
        <f t="shared" si="1"/>
        <v>48.27</v>
      </c>
      <c r="E58" s="28">
        <f>D58/$D$43*100</f>
        <v>2.9567685160201171</v>
      </c>
      <c r="F58" s="54">
        <v>0</v>
      </c>
      <c r="G58" s="54">
        <f>D58/$D$43*100</f>
        <v>2.9567685160201171</v>
      </c>
      <c r="H58" s="49">
        <v>48.27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98">
        <v>0</v>
      </c>
    </row>
    <row r="59" spans="1:34" s="55" customFormat="1" ht="15" customHeight="1" x14ac:dyDescent="0.25">
      <c r="A59" s="25" t="s">
        <v>164</v>
      </c>
      <c r="B59" s="107" t="s">
        <v>165</v>
      </c>
      <c r="C59" s="113" t="s">
        <v>166</v>
      </c>
      <c r="D59" s="28">
        <f t="shared" si="1"/>
        <v>4.45</v>
      </c>
      <c r="E59" s="28">
        <f>D59/$D$43*100</f>
        <v>0.27258379731281374</v>
      </c>
      <c r="F59" s="54">
        <v>2.3343999999999996</v>
      </c>
      <c r="G59" s="54">
        <f>D59/$D$43*100</f>
        <v>0.27258379731281374</v>
      </c>
      <c r="H59" s="84">
        <v>0</v>
      </c>
      <c r="I59" s="49">
        <v>0.2</v>
      </c>
      <c r="J59" s="49">
        <v>0</v>
      </c>
      <c r="K59" s="49">
        <v>0</v>
      </c>
      <c r="L59" s="49">
        <v>0</v>
      </c>
      <c r="M59" s="85">
        <v>0.03</v>
      </c>
      <c r="N59" s="85">
        <v>3.07</v>
      </c>
      <c r="O59" s="85">
        <v>0</v>
      </c>
      <c r="P59" s="85">
        <v>0.04</v>
      </c>
      <c r="Q59" s="85">
        <v>0</v>
      </c>
      <c r="R59" s="85">
        <v>0</v>
      </c>
      <c r="S59" s="85">
        <v>0.1</v>
      </c>
      <c r="T59" s="85">
        <v>0</v>
      </c>
      <c r="U59" s="85">
        <v>0</v>
      </c>
      <c r="V59" s="85">
        <v>0.21</v>
      </c>
      <c r="W59" s="85">
        <v>0</v>
      </c>
      <c r="X59" s="85">
        <v>0</v>
      </c>
      <c r="Y59" s="85">
        <v>0.24</v>
      </c>
      <c r="Z59" s="85">
        <v>0</v>
      </c>
      <c r="AA59" s="85">
        <v>0</v>
      </c>
      <c r="AB59" s="85">
        <v>0.1</v>
      </c>
      <c r="AC59" s="85">
        <v>0</v>
      </c>
      <c r="AD59" s="85">
        <v>0</v>
      </c>
      <c r="AE59" s="85">
        <v>0</v>
      </c>
      <c r="AF59" s="85">
        <v>0</v>
      </c>
      <c r="AG59" s="85">
        <v>0.46</v>
      </c>
      <c r="AH59" s="87">
        <v>0</v>
      </c>
    </row>
    <row r="60" spans="1:34" s="19" customFormat="1" ht="15" customHeight="1" x14ac:dyDescent="0.25">
      <c r="A60" s="59" t="s">
        <v>167</v>
      </c>
      <c r="B60" s="21" t="s">
        <v>168</v>
      </c>
      <c r="C60" s="22" t="s">
        <v>169</v>
      </c>
      <c r="D60" s="23">
        <f t="shared" si="1"/>
        <v>0</v>
      </c>
      <c r="E60" s="23">
        <f t="shared" ref="E60:E70" si="13">D60/$D$34*100</f>
        <v>0</v>
      </c>
      <c r="F60" s="23">
        <v>0</v>
      </c>
      <c r="G60" s="23"/>
      <c r="H60" s="84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85">
        <v>0</v>
      </c>
      <c r="U60" s="85">
        <v>0</v>
      </c>
      <c r="V60" s="85">
        <v>0</v>
      </c>
      <c r="W60" s="85">
        <v>0</v>
      </c>
      <c r="X60" s="85"/>
      <c r="Y60" s="85"/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7">
        <v>0</v>
      </c>
    </row>
    <row r="61" spans="1:34" ht="15" customHeight="1" x14ac:dyDescent="0.25">
      <c r="A61" s="20">
        <v>2.11</v>
      </c>
      <c r="B61" s="21" t="s">
        <v>170</v>
      </c>
      <c r="C61" s="22" t="s">
        <v>171</v>
      </c>
      <c r="D61" s="23">
        <f t="shared" si="1"/>
        <v>0</v>
      </c>
      <c r="E61" s="23">
        <f t="shared" si="13"/>
        <v>0</v>
      </c>
      <c r="F61" s="23">
        <v>20.460699999999999</v>
      </c>
      <c r="G61" s="23"/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82">
        <v>0</v>
      </c>
    </row>
    <row r="62" spans="1:34" ht="15" customHeight="1" x14ac:dyDescent="0.25">
      <c r="A62" s="20">
        <v>2.12</v>
      </c>
      <c r="B62" s="21" t="s">
        <v>172</v>
      </c>
      <c r="C62" s="22" t="s">
        <v>173</v>
      </c>
      <c r="D62" s="23">
        <f t="shared" si="1"/>
        <v>33.229999999999997</v>
      </c>
      <c r="E62" s="23">
        <f t="shared" si="13"/>
        <v>0.45218129097799387</v>
      </c>
      <c r="F62" s="23">
        <v>8.8176000000000005</v>
      </c>
      <c r="G62" s="23"/>
      <c r="H62" s="24">
        <v>0.77</v>
      </c>
      <c r="I62" s="24">
        <v>2.65</v>
      </c>
      <c r="J62" s="24">
        <v>1.7</v>
      </c>
      <c r="K62" s="24">
        <v>0.9</v>
      </c>
      <c r="L62" s="24">
        <v>2.61</v>
      </c>
      <c r="M62" s="24">
        <v>1.05</v>
      </c>
      <c r="N62" s="24">
        <v>1.24</v>
      </c>
      <c r="O62" s="24">
        <v>1.24</v>
      </c>
      <c r="P62" s="24">
        <v>1.71</v>
      </c>
      <c r="Q62" s="24">
        <v>0.28999999999999998</v>
      </c>
      <c r="R62" s="24">
        <v>2.21</v>
      </c>
      <c r="S62" s="24">
        <v>2.68</v>
      </c>
      <c r="T62" s="24">
        <v>0.97</v>
      </c>
      <c r="U62" s="24">
        <v>1.51</v>
      </c>
      <c r="V62" s="24">
        <v>1.86</v>
      </c>
      <c r="W62" s="24">
        <v>0.02</v>
      </c>
      <c r="X62" s="24">
        <v>2.4</v>
      </c>
      <c r="Y62" s="24">
        <v>0.02</v>
      </c>
      <c r="Z62" s="24">
        <v>1.1200000000000001</v>
      </c>
      <c r="AA62" s="24">
        <v>0.44</v>
      </c>
      <c r="AB62" s="24">
        <v>0.11</v>
      </c>
      <c r="AC62" s="24">
        <v>2.02</v>
      </c>
      <c r="AD62" s="24">
        <v>1.06</v>
      </c>
      <c r="AE62" s="24">
        <v>1</v>
      </c>
      <c r="AF62" s="24">
        <v>0</v>
      </c>
      <c r="AG62" s="24">
        <v>1.1499999999999999</v>
      </c>
      <c r="AH62" s="82">
        <v>0.5</v>
      </c>
    </row>
    <row r="63" spans="1:34" s="19" customFormat="1" ht="15" customHeight="1" x14ac:dyDescent="0.25">
      <c r="A63" s="20">
        <v>2.13</v>
      </c>
      <c r="B63" s="21" t="s">
        <v>174</v>
      </c>
      <c r="C63" s="22" t="s">
        <v>175</v>
      </c>
      <c r="D63" s="23">
        <f t="shared" si="1"/>
        <v>833.73340000000019</v>
      </c>
      <c r="E63" s="23">
        <f t="shared" si="13"/>
        <v>11.345129254994651</v>
      </c>
      <c r="F63" s="23">
        <v>512.67806666666661</v>
      </c>
      <c r="G63" s="23"/>
      <c r="H63" s="114">
        <v>35.86</v>
      </c>
      <c r="I63" s="24">
        <v>55.38</v>
      </c>
      <c r="J63" s="51">
        <v>54.3</v>
      </c>
      <c r="K63" s="24">
        <v>24.4</v>
      </c>
      <c r="L63" s="92">
        <f>36.87-0.3466</f>
        <v>36.523399999999995</v>
      </c>
      <c r="M63" s="24">
        <v>36.97</v>
      </c>
      <c r="N63" s="24">
        <v>0</v>
      </c>
      <c r="O63" s="24">
        <v>47.83</v>
      </c>
      <c r="P63" s="24">
        <v>33.78</v>
      </c>
      <c r="Q63" s="24">
        <v>21.91</v>
      </c>
      <c r="R63" s="91">
        <v>42.71</v>
      </c>
      <c r="S63" s="24">
        <v>38.67</v>
      </c>
      <c r="T63" s="24">
        <v>31.26</v>
      </c>
      <c r="U63" s="51">
        <v>36.29</v>
      </c>
      <c r="V63" s="51">
        <v>48.07</v>
      </c>
      <c r="W63" s="51">
        <v>18.43</v>
      </c>
      <c r="X63" s="51">
        <v>43.63</v>
      </c>
      <c r="Y63" s="51">
        <v>18.510000000000002</v>
      </c>
      <c r="Z63" s="51">
        <v>20.11</v>
      </c>
      <c r="AA63" s="51">
        <v>20.07</v>
      </c>
      <c r="AB63" s="51">
        <v>16.32</v>
      </c>
      <c r="AC63" s="51">
        <v>17.14</v>
      </c>
      <c r="AD63" s="51">
        <v>12.2</v>
      </c>
      <c r="AE63" s="51">
        <v>24.900000000000002</v>
      </c>
      <c r="AF63" s="51">
        <v>26.94</v>
      </c>
      <c r="AG63" s="51">
        <v>24.05</v>
      </c>
      <c r="AH63" s="52">
        <v>47.480000000000004</v>
      </c>
    </row>
    <row r="64" spans="1:34" s="19" customFormat="1" ht="15" customHeight="1" x14ac:dyDescent="0.25">
      <c r="A64" s="20">
        <v>2.14</v>
      </c>
      <c r="B64" s="21" t="s">
        <v>176</v>
      </c>
      <c r="C64" s="22" t="s">
        <v>177</v>
      </c>
      <c r="D64" s="23">
        <f t="shared" si="1"/>
        <v>92.710000000000008</v>
      </c>
      <c r="E64" s="23">
        <f t="shared" si="13"/>
        <v>1.2615626688705934</v>
      </c>
      <c r="F64" s="23">
        <v>19.575800000000001</v>
      </c>
      <c r="G64" s="23"/>
      <c r="H64" s="24">
        <v>0</v>
      </c>
      <c r="I64" s="51">
        <v>0</v>
      </c>
      <c r="J64" s="51">
        <v>0</v>
      </c>
      <c r="K64" s="51">
        <v>0</v>
      </c>
      <c r="L64" s="24">
        <v>0</v>
      </c>
      <c r="M64" s="24">
        <v>0</v>
      </c>
      <c r="N64" s="24">
        <v>37.619999999999997</v>
      </c>
      <c r="O64" s="24">
        <v>1.29</v>
      </c>
      <c r="P64" s="24">
        <v>15.309999999999999</v>
      </c>
      <c r="Q64" s="24">
        <v>0</v>
      </c>
      <c r="R64" s="24">
        <v>0</v>
      </c>
      <c r="S64" s="24">
        <v>0</v>
      </c>
      <c r="T64" s="24">
        <v>38.49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82">
        <v>0</v>
      </c>
    </row>
    <row r="65" spans="1:34" s="19" customFormat="1" ht="15" customHeight="1" x14ac:dyDescent="0.25">
      <c r="A65" s="20">
        <v>2.15</v>
      </c>
      <c r="B65" s="21" t="s">
        <v>178</v>
      </c>
      <c r="C65" s="22" t="s">
        <v>179</v>
      </c>
      <c r="D65" s="23">
        <f t="shared" si="1"/>
        <v>13.53</v>
      </c>
      <c r="E65" s="23">
        <f t="shared" si="13"/>
        <v>0.18411113051255665</v>
      </c>
      <c r="F65" s="23">
        <v>11.2148</v>
      </c>
      <c r="G65" s="23"/>
      <c r="H65" s="24">
        <v>0.83</v>
      </c>
      <c r="I65" s="51">
        <v>0.33</v>
      </c>
      <c r="J65" s="51">
        <v>0.79</v>
      </c>
      <c r="K65" s="51">
        <v>0.67</v>
      </c>
      <c r="L65" s="24">
        <f>0.12+0.5</f>
        <v>0.62</v>
      </c>
      <c r="M65" s="24">
        <v>0.26</v>
      </c>
      <c r="N65" s="24">
        <v>1.96</v>
      </c>
      <c r="O65" s="24">
        <v>0.61</v>
      </c>
      <c r="P65" s="24">
        <v>0.76</v>
      </c>
      <c r="Q65" s="24">
        <v>0.33</v>
      </c>
      <c r="R65" s="24">
        <v>0.27</v>
      </c>
      <c r="S65" s="24">
        <v>0.30999999999999994</v>
      </c>
      <c r="T65" s="24">
        <v>0.52</v>
      </c>
      <c r="U65" s="24">
        <v>0.19</v>
      </c>
      <c r="V65" s="24">
        <v>0.53</v>
      </c>
      <c r="W65" s="24">
        <v>0.08</v>
      </c>
      <c r="X65" s="24">
        <v>0.23</v>
      </c>
      <c r="Y65" s="24">
        <v>0.36</v>
      </c>
      <c r="Z65" s="24">
        <v>0.61</v>
      </c>
      <c r="AA65" s="24">
        <v>0.37</v>
      </c>
      <c r="AB65" s="24">
        <v>0.26</v>
      </c>
      <c r="AC65" s="24">
        <v>0.8</v>
      </c>
      <c r="AD65" s="24">
        <v>0.14000000000000001</v>
      </c>
      <c r="AE65" s="24">
        <v>0.56000000000000005</v>
      </c>
      <c r="AF65" s="24">
        <v>0.49</v>
      </c>
      <c r="AG65" s="24">
        <v>0.34</v>
      </c>
      <c r="AH65" s="82">
        <v>0.31</v>
      </c>
    </row>
    <row r="66" spans="1:34" s="19" customFormat="1" ht="15" customHeight="1" x14ac:dyDescent="0.25">
      <c r="A66" s="20">
        <v>2.16</v>
      </c>
      <c r="B66" s="21" t="s">
        <v>180</v>
      </c>
      <c r="C66" s="22" t="s">
        <v>181</v>
      </c>
      <c r="D66" s="23">
        <f t="shared" si="1"/>
        <v>2.96</v>
      </c>
      <c r="E66" s="23">
        <f t="shared" si="13"/>
        <v>4.027856218160885E-2</v>
      </c>
      <c r="F66" s="23">
        <v>0.84060000000000001</v>
      </c>
      <c r="G66" s="23"/>
      <c r="H66" s="48">
        <v>0.54</v>
      </c>
      <c r="I66" s="48">
        <v>0</v>
      </c>
      <c r="J66" s="48">
        <v>0.05</v>
      </c>
      <c r="K66" s="48">
        <v>0</v>
      </c>
      <c r="L66" s="24">
        <v>0</v>
      </c>
      <c r="M66" s="24">
        <v>0.03</v>
      </c>
      <c r="N66" s="24">
        <v>0.77</v>
      </c>
      <c r="O66" s="24">
        <v>0</v>
      </c>
      <c r="P66" s="24">
        <v>0.57999999999999996</v>
      </c>
      <c r="Q66" s="24">
        <v>0.11</v>
      </c>
      <c r="R66" s="24">
        <v>0</v>
      </c>
      <c r="S66" s="24">
        <v>0</v>
      </c>
      <c r="T66" s="24">
        <v>0.72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0.16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82">
        <v>0</v>
      </c>
    </row>
    <row r="67" spans="1:34" s="19" customFormat="1" ht="15" customHeight="1" x14ac:dyDescent="0.25">
      <c r="A67" s="20">
        <v>2.17</v>
      </c>
      <c r="B67" s="21" t="s">
        <v>182</v>
      </c>
      <c r="C67" s="22" t="s">
        <v>183</v>
      </c>
      <c r="D67" s="23">
        <f t="shared" si="1"/>
        <v>0</v>
      </c>
      <c r="E67" s="23">
        <f t="shared" si="13"/>
        <v>0</v>
      </c>
      <c r="F67" s="23">
        <v>0</v>
      </c>
      <c r="G67" s="23"/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105">
        <v>0</v>
      </c>
    </row>
    <row r="68" spans="1:34" ht="15" customHeight="1" x14ac:dyDescent="0.25">
      <c r="A68" s="20">
        <v>2.1800000000000002</v>
      </c>
      <c r="B68" s="21" t="s">
        <v>184</v>
      </c>
      <c r="C68" s="22" t="s">
        <v>185</v>
      </c>
      <c r="D68" s="23">
        <f t="shared" si="1"/>
        <v>0.39</v>
      </c>
      <c r="E68" s="23">
        <f t="shared" si="13"/>
        <v>5.3069727198741387E-3</v>
      </c>
      <c r="F68" s="23">
        <v>0</v>
      </c>
      <c r="G68" s="23"/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0.39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82">
        <v>0</v>
      </c>
    </row>
    <row r="69" spans="1:34" ht="15" customHeight="1" x14ac:dyDescent="0.25">
      <c r="A69" s="20">
        <v>2.19</v>
      </c>
      <c r="B69" s="21" t="s">
        <v>186</v>
      </c>
      <c r="C69" s="22" t="s">
        <v>187</v>
      </c>
      <c r="D69" s="23">
        <f t="shared" si="1"/>
        <v>3902.6334999999995</v>
      </c>
      <c r="E69" s="23">
        <f t="shared" si="13"/>
        <v>53.10556287222289</v>
      </c>
      <c r="F69" s="23">
        <v>584.52870000000007</v>
      </c>
      <c r="G69" s="23"/>
      <c r="H69" s="24">
        <v>29.17</v>
      </c>
      <c r="I69" s="24">
        <v>73.31</v>
      </c>
      <c r="J69" s="24">
        <v>44.09</v>
      </c>
      <c r="K69" s="24">
        <v>36.97</v>
      </c>
      <c r="L69" s="92">
        <f>65.28-0.2465</f>
        <v>65.033500000000004</v>
      </c>
      <c r="M69" s="24">
        <v>26.45</v>
      </c>
      <c r="N69" s="24">
        <v>2.76</v>
      </c>
      <c r="O69" s="24">
        <v>34.04</v>
      </c>
      <c r="P69" s="24">
        <v>22.27</v>
      </c>
      <c r="Q69" s="24">
        <v>9.0299999999999994</v>
      </c>
      <c r="R69" s="24">
        <v>11.21</v>
      </c>
      <c r="S69" s="24">
        <v>19.91</v>
      </c>
      <c r="T69" s="24">
        <v>39.71</v>
      </c>
      <c r="U69" s="24">
        <v>32.11</v>
      </c>
      <c r="V69" s="24">
        <v>29.71</v>
      </c>
      <c r="W69" s="24">
        <v>279.18</v>
      </c>
      <c r="X69" s="24">
        <v>8.57</v>
      </c>
      <c r="Y69" s="24">
        <v>263.77</v>
      </c>
      <c r="Z69" s="24">
        <v>40.75</v>
      </c>
      <c r="AA69" s="24">
        <v>601.84</v>
      </c>
      <c r="AB69" s="24">
        <v>593.97</v>
      </c>
      <c r="AC69" s="24">
        <v>401.37</v>
      </c>
      <c r="AD69" s="24">
        <v>683.67</v>
      </c>
      <c r="AE69" s="24">
        <v>437.85</v>
      </c>
      <c r="AF69" s="24">
        <v>81.97</v>
      </c>
      <c r="AG69" s="24">
        <v>15.22</v>
      </c>
      <c r="AH69" s="82">
        <v>18.7</v>
      </c>
    </row>
    <row r="70" spans="1:34" ht="15" customHeight="1" x14ac:dyDescent="0.25">
      <c r="A70" s="20">
        <v>2.2000000000000002</v>
      </c>
      <c r="B70" s="21" t="s">
        <v>188</v>
      </c>
      <c r="C70" s="22" t="s">
        <v>189</v>
      </c>
      <c r="D70" s="23">
        <f t="shared" si="1"/>
        <v>217.31</v>
      </c>
      <c r="E70" s="23">
        <f t="shared" si="13"/>
        <v>2.9570724147585872</v>
      </c>
      <c r="F70" s="23">
        <v>90.687100000000001</v>
      </c>
      <c r="G70" s="23"/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10.23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207.08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82">
        <v>0</v>
      </c>
    </row>
    <row r="71" spans="1:34" ht="15" customHeight="1" x14ac:dyDescent="0.25">
      <c r="A71" s="20">
        <v>2.21</v>
      </c>
      <c r="B71" s="21" t="s">
        <v>190</v>
      </c>
      <c r="C71" s="22" t="s">
        <v>191</v>
      </c>
      <c r="D71" s="23">
        <f t="shared" si="1"/>
        <v>0.08</v>
      </c>
      <c r="E71" s="23"/>
      <c r="F71" s="23">
        <v>0</v>
      </c>
      <c r="G71" s="23"/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0.08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82">
        <v>0</v>
      </c>
    </row>
    <row r="72" spans="1:34" ht="15" customHeight="1" x14ac:dyDescent="0.25">
      <c r="A72" s="60">
        <v>3</v>
      </c>
      <c r="B72" s="61" t="s">
        <v>192</v>
      </c>
      <c r="C72" s="18" t="s">
        <v>193</v>
      </c>
      <c r="D72" s="13">
        <f t="shared" si="1"/>
        <v>14761.115399999999</v>
      </c>
      <c r="E72" s="13">
        <f>D72/$D$9*100</f>
        <v>11.974342062929281</v>
      </c>
      <c r="F72" s="13">
        <v>2368.5943999999954</v>
      </c>
      <c r="G72" s="13"/>
      <c r="H72" s="14">
        <v>259.55</v>
      </c>
      <c r="I72" s="14">
        <v>582.17999999999995</v>
      </c>
      <c r="J72" s="14">
        <v>850.04</v>
      </c>
      <c r="K72" s="14">
        <v>27.01</v>
      </c>
      <c r="L72" s="115">
        <f>235.68-0.2846</f>
        <v>235.3954</v>
      </c>
      <c r="M72" s="14">
        <v>26.929999999998685</v>
      </c>
      <c r="N72" s="14">
        <v>0.54000000000002046</v>
      </c>
      <c r="O72" s="14">
        <v>218.56999999999974</v>
      </c>
      <c r="P72" s="14">
        <v>13.770000000000223</v>
      </c>
      <c r="Q72" s="14">
        <v>465.41999999999973</v>
      </c>
      <c r="R72" s="14">
        <v>313.68999999999994</v>
      </c>
      <c r="S72" s="14">
        <v>137.70999999999984</v>
      </c>
      <c r="T72" s="14">
        <v>943.40000000000009</v>
      </c>
      <c r="U72" s="14">
        <v>397.67999999999995</v>
      </c>
      <c r="V72" s="14">
        <v>710.98000000000025</v>
      </c>
      <c r="W72" s="14">
        <v>167.12000000000018</v>
      </c>
      <c r="X72" s="14">
        <v>358.33999999999992</v>
      </c>
      <c r="Y72" s="14">
        <v>689.31999999999971</v>
      </c>
      <c r="Z72" s="14">
        <v>277.71999999999969</v>
      </c>
      <c r="AA72" s="14">
        <v>681.09999999999945</v>
      </c>
      <c r="AB72" s="14">
        <v>811.02000000000032</v>
      </c>
      <c r="AC72" s="14">
        <v>1160.9900000000007</v>
      </c>
      <c r="AD72" s="14">
        <v>515.97000000000014</v>
      </c>
      <c r="AE72" s="14">
        <v>470.46000000000055</v>
      </c>
      <c r="AF72" s="14">
        <v>1944.5200000000004</v>
      </c>
      <c r="AG72" s="14">
        <v>1460.3999999999999</v>
      </c>
      <c r="AH72" s="15">
        <v>1041.2899999999993</v>
      </c>
    </row>
    <row r="73" spans="1:34" ht="15" customHeight="1" thickBot="1" x14ac:dyDescent="0.3">
      <c r="A73" s="62">
        <v>4</v>
      </c>
      <c r="B73" s="63" t="s">
        <v>194</v>
      </c>
      <c r="C73" s="64" t="s">
        <v>195</v>
      </c>
      <c r="D73" s="65">
        <f t="shared" ref="D73" si="14">SUM(H73:AH73)</f>
        <v>160.5</v>
      </c>
      <c r="E73" s="66"/>
      <c r="F73" s="66"/>
      <c r="G73" s="66"/>
      <c r="H73" s="67">
        <v>0</v>
      </c>
      <c r="I73" s="67">
        <v>0</v>
      </c>
      <c r="J73" s="67">
        <v>0</v>
      </c>
      <c r="K73" s="67">
        <v>0</v>
      </c>
      <c r="L73" s="116">
        <v>0</v>
      </c>
      <c r="M73" s="116">
        <v>0</v>
      </c>
      <c r="N73" s="116">
        <v>105.41</v>
      </c>
      <c r="O73" s="116">
        <v>1.29</v>
      </c>
      <c r="P73" s="116">
        <v>15.31</v>
      </c>
      <c r="Q73" s="67">
        <v>0</v>
      </c>
      <c r="R73" s="67">
        <v>0</v>
      </c>
      <c r="S73" s="67">
        <v>0</v>
      </c>
      <c r="T73" s="67">
        <v>38.49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117">
        <v>0</v>
      </c>
    </row>
    <row r="74" spans="1:34" ht="15" customHeight="1" x14ac:dyDescent="0.25">
      <c r="A74" s="68"/>
      <c r="B74" s="236" t="s">
        <v>196</v>
      </c>
      <c r="C74" s="236"/>
      <c r="D74" s="236"/>
      <c r="E74" s="236"/>
      <c r="F74" s="236"/>
      <c r="G74" s="236"/>
      <c r="H74" s="236"/>
      <c r="I74" s="236"/>
      <c r="J74" s="236"/>
      <c r="K74" s="236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</row>
    <row r="75" spans="1:34" ht="15" customHeight="1" x14ac:dyDescent="0.25">
      <c r="A75" s="68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</row>
    <row r="76" spans="1:34" ht="15" customHeight="1" x14ac:dyDescent="0.25">
      <c r="D76" s="118"/>
      <c r="H76" s="2">
        <f>H27+H23+H19</f>
        <v>4618.21</v>
      </c>
      <c r="I76" s="2">
        <f t="shared" ref="I76:AH76" si="15">I27+I23+I19</f>
        <v>2271</v>
      </c>
      <c r="J76" s="2">
        <f t="shared" si="15"/>
        <v>2042.31</v>
      </c>
      <c r="K76" s="2">
        <f t="shared" si="15"/>
        <v>2713.81</v>
      </c>
      <c r="L76" s="2">
        <f t="shared" si="15"/>
        <v>7697.5638000000008</v>
      </c>
      <c r="M76" s="2">
        <f t="shared" si="15"/>
        <v>6456.75</v>
      </c>
      <c r="N76" s="2">
        <f t="shared" si="15"/>
        <v>4.45</v>
      </c>
      <c r="O76" s="2">
        <f t="shared" si="15"/>
        <v>867.46</v>
      </c>
      <c r="P76" s="2">
        <f t="shared" si="15"/>
        <v>1524.1599999999999</v>
      </c>
      <c r="Q76" s="2">
        <f t="shared" si="15"/>
        <v>973.66000000000008</v>
      </c>
      <c r="R76" s="2">
        <f t="shared" si="15"/>
        <v>349.83</v>
      </c>
      <c r="S76" s="2">
        <f t="shared" si="15"/>
        <v>968.48000000000013</v>
      </c>
      <c r="T76" s="2">
        <f t="shared" si="15"/>
        <v>1966.1000000000001</v>
      </c>
      <c r="U76" s="2">
        <f t="shared" si="15"/>
        <v>368.07</v>
      </c>
      <c r="V76" s="2">
        <f t="shared" si="15"/>
        <v>1425.8899999999999</v>
      </c>
      <c r="W76" s="2">
        <f t="shared" si="15"/>
        <v>743.66000000000008</v>
      </c>
      <c r="X76" s="2">
        <f t="shared" si="15"/>
        <v>550.74</v>
      </c>
      <c r="Y76" s="2">
        <f t="shared" si="15"/>
        <v>1395.23</v>
      </c>
      <c r="Z76" s="2">
        <f t="shared" si="15"/>
        <v>1120.8700000000001</v>
      </c>
      <c r="AA76" s="2">
        <f t="shared" si="15"/>
        <v>1519.77</v>
      </c>
      <c r="AB76" s="2">
        <f t="shared" si="15"/>
        <v>1238.33</v>
      </c>
      <c r="AC76" s="2">
        <f t="shared" si="15"/>
        <v>2653.11</v>
      </c>
      <c r="AD76" s="2">
        <f t="shared" si="15"/>
        <v>922.11</v>
      </c>
      <c r="AE76" s="2">
        <f t="shared" si="15"/>
        <v>3325.35</v>
      </c>
      <c r="AF76" s="2">
        <f t="shared" si="15"/>
        <v>8406.61</v>
      </c>
      <c r="AG76" s="2">
        <f t="shared" si="15"/>
        <v>953.64</v>
      </c>
      <c r="AH76" s="2">
        <f t="shared" si="15"/>
        <v>1206.6699999999998</v>
      </c>
    </row>
    <row r="77" spans="1:34" ht="15" customHeight="1" x14ac:dyDescent="0.2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 x14ac:dyDescent="0.2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" customHeight="1" x14ac:dyDescent="0.25">
      <c r="B79" s="4">
        <f>275+234</f>
        <v>509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6" spans="16:19" ht="15" customHeight="1" x14ac:dyDescent="0.25">
      <c r="P86" s="71"/>
    </row>
    <row r="88" spans="16:19" ht="15" customHeight="1" x14ac:dyDescent="0.25">
      <c r="P88" s="1"/>
    </row>
    <row r="89" spans="16:19" ht="15" customHeight="1" x14ac:dyDescent="0.25">
      <c r="P89" s="72"/>
    </row>
    <row r="90" spans="16:19" ht="15" customHeight="1" x14ac:dyDescent="0.25">
      <c r="P90" s="71"/>
    </row>
    <row r="91" spans="16:19" ht="15" customHeight="1" x14ac:dyDescent="0.25">
      <c r="S91" s="71"/>
    </row>
    <row r="92" spans="16:19" ht="15" customHeight="1" x14ac:dyDescent="0.25">
      <c r="S92" s="71"/>
    </row>
  </sheetData>
  <mergeCells count="9">
    <mergeCell ref="B74:K74"/>
    <mergeCell ref="A2:V2"/>
    <mergeCell ref="A6:A7"/>
    <mergeCell ref="B6:B7"/>
    <mergeCell ref="C6:C7"/>
    <mergeCell ref="D6:D7"/>
    <mergeCell ref="E6:E7"/>
    <mergeCell ref="F6:F7"/>
    <mergeCell ref="H6:AH6"/>
  </mergeCells>
  <pageMargins left="0.35" right="0.23622047244094499" top="0.86" bottom="0.2" header="0.31496062992126" footer="0.2"/>
  <pageSetup paperSize="8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J1" workbookViewId="0">
      <selection activeCell="J5" sqref="J5:K5"/>
    </sheetView>
  </sheetViews>
  <sheetFormatPr defaultColWidth="9.140625" defaultRowHeight="15.75" x14ac:dyDescent="0.25"/>
  <cols>
    <col min="1" max="1" width="5.140625" style="165" customWidth="1"/>
    <col min="2" max="2" width="42.85546875" style="120" customWidth="1"/>
    <col min="3" max="3" width="8.140625" style="119" customWidth="1"/>
    <col min="4" max="16384" width="9.140625" style="120"/>
  </cols>
  <sheetData>
    <row r="1" spans="1:29" x14ac:dyDescent="0.25">
      <c r="A1" s="251"/>
      <c r="B1" s="251"/>
      <c r="AB1" s="252" t="s">
        <v>256</v>
      </c>
      <c r="AC1" s="252"/>
    </row>
    <row r="2" spans="1:29" ht="15.75" customHeight="1" x14ac:dyDescent="0.25">
      <c r="A2" s="237" t="s">
        <v>257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</row>
    <row r="3" spans="1:29" x14ac:dyDescent="0.25">
      <c r="A3" s="253" t="s">
        <v>212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</row>
    <row r="4" spans="1:29" ht="12.75" customHeight="1" x14ac:dyDescent="0.25">
      <c r="A4" s="6"/>
      <c r="B4" s="6"/>
      <c r="C4" s="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9" ht="78.75" customHeight="1" x14ac:dyDescent="0.25">
      <c r="A5" s="254" t="s">
        <v>0</v>
      </c>
      <c r="B5" s="254" t="s">
        <v>258</v>
      </c>
      <c r="C5" s="254" t="s">
        <v>2</v>
      </c>
      <c r="D5" s="249" t="s">
        <v>250</v>
      </c>
      <c r="E5" s="250"/>
      <c r="F5" s="249" t="s">
        <v>251</v>
      </c>
      <c r="G5" s="250"/>
      <c r="H5" s="249" t="s">
        <v>241</v>
      </c>
      <c r="I5" s="250"/>
      <c r="J5" s="249" t="s">
        <v>259</v>
      </c>
      <c r="K5" s="250"/>
      <c r="L5" s="249" t="s">
        <v>260</v>
      </c>
      <c r="M5" s="250"/>
      <c r="N5" s="249" t="s">
        <v>242</v>
      </c>
      <c r="O5" s="250"/>
      <c r="P5" s="249" t="s">
        <v>252</v>
      </c>
      <c r="Q5" s="250"/>
      <c r="R5" s="249" t="s">
        <v>243</v>
      </c>
      <c r="S5" s="250"/>
      <c r="T5" s="249" t="s">
        <v>244</v>
      </c>
      <c r="U5" s="250"/>
      <c r="V5" s="249" t="s">
        <v>245</v>
      </c>
      <c r="W5" s="250"/>
      <c r="X5" s="249" t="s">
        <v>246</v>
      </c>
      <c r="Y5" s="250"/>
      <c r="Z5" s="249" t="s">
        <v>247</v>
      </c>
      <c r="AA5" s="250"/>
      <c r="AB5" s="249" t="s">
        <v>248</v>
      </c>
      <c r="AC5" s="250"/>
    </row>
    <row r="6" spans="1:29" ht="30.75" customHeight="1" x14ac:dyDescent="0.25">
      <c r="A6" s="255"/>
      <c r="B6" s="255"/>
      <c r="C6" s="255"/>
      <c r="D6" s="127" t="s">
        <v>261</v>
      </c>
      <c r="E6" s="127" t="s">
        <v>230</v>
      </c>
      <c r="F6" s="127" t="s">
        <v>261</v>
      </c>
      <c r="G6" s="127" t="s">
        <v>230</v>
      </c>
      <c r="H6" s="127" t="s">
        <v>261</v>
      </c>
      <c r="I6" s="127" t="s">
        <v>230</v>
      </c>
      <c r="J6" s="127" t="s">
        <v>261</v>
      </c>
      <c r="K6" s="127" t="s">
        <v>230</v>
      </c>
      <c r="L6" s="127" t="s">
        <v>261</v>
      </c>
      <c r="M6" s="127" t="s">
        <v>230</v>
      </c>
      <c r="N6" s="127" t="s">
        <v>261</v>
      </c>
      <c r="O6" s="127" t="s">
        <v>230</v>
      </c>
      <c r="P6" s="127" t="s">
        <v>261</v>
      </c>
      <c r="Q6" s="127" t="s">
        <v>230</v>
      </c>
      <c r="R6" s="127" t="s">
        <v>261</v>
      </c>
      <c r="S6" s="127" t="s">
        <v>230</v>
      </c>
      <c r="T6" s="127" t="s">
        <v>261</v>
      </c>
      <c r="U6" s="127" t="s">
        <v>230</v>
      </c>
      <c r="V6" s="127" t="s">
        <v>261</v>
      </c>
      <c r="W6" s="127" t="s">
        <v>230</v>
      </c>
      <c r="X6" s="127" t="s">
        <v>261</v>
      </c>
      <c r="Y6" s="127" t="s">
        <v>230</v>
      </c>
      <c r="Z6" s="127" t="s">
        <v>261</v>
      </c>
      <c r="AA6" s="127" t="s">
        <v>230</v>
      </c>
      <c r="AB6" s="127" t="s">
        <v>261</v>
      </c>
      <c r="AC6" s="127" t="s">
        <v>230</v>
      </c>
    </row>
    <row r="7" spans="1:29" s="133" customFormat="1" x14ac:dyDescent="0.25">
      <c r="A7" s="128">
        <v>1</v>
      </c>
      <c r="B7" s="129" t="s">
        <v>37</v>
      </c>
      <c r="C7" s="130" t="s">
        <v>38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1"/>
      <c r="W7" s="131"/>
      <c r="X7" s="131"/>
      <c r="Y7" s="131"/>
      <c r="Z7" s="131"/>
      <c r="AA7" s="131"/>
      <c r="AB7" s="131"/>
      <c r="AC7" s="132"/>
    </row>
    <row r="8" spans="1:29" x14ac:dyDescent="0.25">
      <c r="A8" s="134" t="s">
        <v>39</v>
      </c>
      <c r="B8" s="135" t="s">
        <v>40</v>
      </c>
      <c r="C8" s="136" t="s">
        <v>41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7"/>
      <c r="V8" s="138"/>
      <c r="W8" s="138"/>
      <c r="X8" s="138"/>
      <c r="Y8" s="138"/>
      <c r="Z8" s="138"/>
      <c r="AA8" s="138"/>
      <c r="AB8" s="138"/>
      <c r="AC8" s="139"/>
    </row>
    <row r="9" spans="1:29" s="146" customFormat="1" x14ac:dyDescent="0.25">
      <c r="A9" s="140"/>
      <c r="B9" s="123" t="s">
        <v>43</v>
      </c>
      <c r="C9" s="141" t="s">
        <v>44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3"/>
      <c r="V9" s="144"/>
      <c r="W9" s="144"/>
      <c r="X9" s="144"/>
      <c r="Y9" s="144"/>
      <c r="Z9" s="144"/>
      <c r="AA9" s="144"/>
      <c r="AB9" s="144"/>
      <c r="AC9" s="145"/>
    </row>
    <row r="10" spans="1:29" x14ac:dyDescent="0.25">
      <c r="A10" s="134" t="s">
        <v>51</v>
      </c>
      <c r="B10" s="122" t="s">
        <v>52</v>
      </c>
      <c r="C10" s="136" t="s">
        <v>53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7"/>
      <c r="V10" s="138"/>
      <c r="W10" s="138"/>
      <c r="X10" s="138"/>
      <c r="Y10" s="138"/>
      <c r="Z10" s="138"/>
      <c r="AA10" s="138"/>
      <c r="AB10" s="138"/>
      <c r="AC10" s="139"/>
    </row>
    <row r="11" spans="1:29" x14ac:dyDescent="0.25">
      <c r="A11" s="134" t="s">
        <v>58</v>
      </c>
      <c r="B11" s="122" t="s">
        <v>59</v>
      </c>
      <c r="C11" s="136" t="s">
        <v>60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7"/>
      <c r="V11" s="138"/>
      <c r="W11" s="138"/>
      <c r="X11" s="138"/>
      <c r="Y11" s="138"/>
      <c r="Z11" s="138"/>
      <c r="AA11" s="138"/>
      <c r="AB11" s="138"/>
      <c r="AC11" s="139"/>
    </row>
    <row r="12" spans="1:29" x14ac:dyDescent="0.25">
      <c r="A12" s="134" t="s">
        <v>61</v>
      </c>
      <c r="B12" s="122" t="s">
        <v>62</v>
      </c>
      <c r="C12" s="136" t="s">
        <v>63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7"/>
      <c r="V12" s="138"/>
      <c r="W12" s="138"/>
      <c r="X12" s="138"/>
      <c r="Y12" s="138"/>
      <c r="Z12" s="138"/>
      <c r="AA12" s="138"/>
      <c r="AB12" s="138"/>
      <c r="AC12" s="139"/>
    </row>
    <row r="13" spans="1:29" x14ac:dyDescent="0.25">
      <c r="A13" s="134" t="s">
        <v>70</v>
      </c>
      <c r="B13" s="122" t="s">
        <v>71</v>
      </c>
      <c r="C13" s="136" t="s">
        <v>72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7"/>
      <c r="V13" s="138"/>
      <c r="W13" s="138"/>
      <c r="X13" s="138"/>
      <c r="Y13" s="138"/>
      <c r="Z13" s="138"/>
      <c r="AA13" s="138"/>
      <c r="AB13" s="138"/>
      <c r="AC13" s="139"/>
    </row>
    <row r="14" spans="1:29" x14ac:dyDescent="0.25">
      <c r="A14" s="134" t="s">
        <v>79</v>
      </c>
      <c r="B14" s="122" t="s">
        <v>80</v>
      </c>
      <c r="C14" s="136" t="s">
        <v>81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7"/>
      <c r="V14" s="138"/>
      <c r="W14" s="138"/>
      <c r="X14" s="138"/>
      <c r="Y14" s="138"/>
      <c r="Z14" s="138"/>
      <c r="AA14" s="138"/>
      <c r="AB14" s="138"/>
      <c r="AC14" s="139"/>
    </row>
    <row r="15" spans="1:29" x14ac:dyDescent="0.25">
      <c r="A15" s="134" t="s">
        <v>88</v>
      </c>
      <c r="B15" s="122" t="s">
        <v>89</v>
      </c>
      <c r="C15" s="136" t="s">
        <v>90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7"/>
      <c r="V15" s="138"/>
      <c r="W15" s="138"/>
      <c r="X15" s="138"/>
      <c r="Y15" s="138"/>
      <c r="Z15" s="138"/>
      <c r="AA15" s="138"/>
      <c r="AB15" s="138"/>
      <c r="AC15" s="139"/>
    </row>
    <row r="16" spans="1:29" hidden="1" x14ac:dyDescent="0.25">
      <c r="A16" s="134" t="s">
        <v>91</v>
      </c>
      <c r="B16" s="122" t="s">
        <v>92</v>
      </c>
      <c r="C16" s="136" t="s">
        <v>93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7"/>
      <c r="V16" s="138"/>
      <c r="W16" s="138"/>
      <c r="X16" s="138"/>
      <c r="Y16" s="138"/>
      <c r="Z16" s="138"/>
      <c r="AA16" s="138"/>
      <c r="AB16" s="138"/>
      <c r="AC16" s="139"/>
    </row>
    <row r="17" spans="1:29" x14ac:dyDescent="0.25">
      <c r="A17" s="134" t="s">
        <v>91</v>
      </c>
      <c r="B17" s="122" t="s">
        <v>94</v>
      </c>
      <c r="C17" s="136" t="s">
        <v>95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7"/>
      <c r="V17" s="138"/>
      <c r="W17" s="138"/>
      <c r="X17" s="138"/>
      <c r="Y17" s="138"/>
      <c r="Z17" s="138"/>
      <c r="AA17" s="138"/>
      <c r="AB17" s="138"/>
      <c r="AC17" s="139"/>
    </row>
    <row r="18" spans="1:29" s="133" customFormat="1" x14ac:dyDescent="0.25">
      <c r="A18" s="147">
        <v>2</v>
      </c>
      <c r="B18" s="148" t="s">
        <v>96</v>
      </c>
      <c r="C18" s="149" t="s">
        <v>97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50"/>
      <c r="V18" s="151"/>
      <c r="W18" s="151"/>
      <c r="X18" s="151"/>
      <c r="Y18" s="151"/>
      <c r="Z18" s="151"/>
      <c r="AA18" s="151"/>
      <c r="AB18" s="151"/>
      <c r="AC18" s="152"/>
    </row>
    <row r="19" spans="1:29" x14ac:dyDescent="0.25">
      <c r="A19" s="134" t="s">
        <v>98</v>
      </c>
      <c r="B19" s="122" t="s">
        <v>99</v>
      </c>
      <c r="C19" s="121" t="s">
        <v>100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7"/>
      <c r="V19" s="138"/>
      <c r="W19" s="138"/>
      <c r="X19" s="138"/>
      <c r="Y19" s="138"/>
      <c r="Z19" s="138"/>
      <c r="AA19" s="138"/>
      <c r="AB19" s="138"/>
      <c r="AC19" s="139"/>
    </row>
    <row r="20" spans="1:29" x14ac:dyDescent="0.25">
      <c r="A20" s="134" t="s">
        <v>101</v>
      </c>
      <c r="B20" s="122" t="s">
        <v>102</v>
      </c>
      <c r="C20" s="121" t="s">
        <v>103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7"/>
      <c r="V20" s="138"/>
      <c r="W20" s="138"/>
      <c r="X20" s="138"/>
      <c r="Y20" s="138"/>
      <c r="Z20" s="138"/>
      <c r="AA20" s="138"/>
      <c r="AB20" s="138"/>
      <c r="AC20" s="139"/>
    </row>
    <row r="21" spans="1:29" x14ac:dyDescent="0.25">
      <c r="A21" s="134" t="s">
        <v>104</v>
      </c>
      <c r="B21" s="122" t="s">
        <v>105</v>
      </c>
      <c r="C21" s="121" t="s">
        <v>106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7"/>
      <c r="V21" s="138"/>
      <c r="W21" s="138"/>
      <c r="X21" s="138"/>
      <c r="Y21" s="138"/>
      <c r="Z21" s="138"/>
      <c r="AA21" s="138"/>
      <c r="AB21" s="138"/>
      <c r="AC21" s="139"/>
    </row>
    <row r="22" spans="1:29" x14ac:dyDescent="0.25">
      <c r="A22" s="134" t="s">
        <v>213</v>
      </c>
      <c r="B22" s="122" t="s">
        <v>107</v>
      </c>
      <c r="C22" s="121" t="s">
        <v>108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7"/>
      <c r="V22" s="138"/>
      <c r="W22" s="138"/>
      <c r="X22" s="138"/>
      <c r="Y22" s="138"/>
      <c r="Z22" s="138"/>
      <c r="AA22" s="138"/>
      <c r="AB22" s="138"/>
      <c r="AC22" s="139"/>
    </row>
    <row r="23" spans="1:29" x14ac:dyDescent="0.25">
      <c r="A23" s="134" t="s">
        <v>214</v>
      </c>
      <c r="B23" s="122" t="s">
        <v>109</v>
      </c>
      <c r="C23" s="121" t="s">
        <v>110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7"/>
      <c r="V23" s="138"/>
      <c r="W23" s="138"/>
      <c r="X23" s="138"/>
      <c r="Y23" s="138"/>
      <c r="Z23" s="138"/>
      <c r="AA23" s="138"/>
      <c r="AB23" s="138"/>
      <c r="AC23" s="139"/>
    </row>
    <row r="24" spans="1:29" x14ac:dyDescent="0.25">
      <c r="A24" s="134" t="s">
        <v>215</v>
      </c>
      <c r="B24" s="122" t="s">
        <v>111</v>
      </c>
      <c r="C24" s="121" t="s">
        <v>112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7"/>
      <c r="V24" s="138"/>
      <c r="W24" s="138"/>
      <c r="X24" s="138"/>
      <c r="Y24" s="138"/>
      <c r="Z24" s="138"/>
      <c r="AA24" s="138"/>
      <c r="AB24" s="138"/>
      <c r="AC24" s="139"/>
    </row>
    <row r="25" spans="1:29" x14ac:dyDescent="0.25">
      <c r="A25" s="134" t="s">
        <v>216</v>
      </c>
      <c r="B25" s="122" t="s">
        <v>113</v>
      </c>
      <c r="C25" s="121" t="s">
        <v>114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7"/>
      <c r="V25" s="138"/>
      <c r="W25" s="138"/>
      <c r="X25" s="138"/>
      <c r="Y25" s="138"/>
      <c r="Z25" s="138"/>
      <c r="AA25" s="138"/>
      <c r="AB25" s="138"/>
      <c r="AC25" s="139"/>
    </row>
    <row r="26" spans="1:29" x14ac:dyDescent="0.25">
      <c r="A26" s="134" t="s">
        <v>217</v>
      </c>
      <c r="B26" s="122" t="s">
        <v>115</v>
      </c>
      <c r="C26" s="121" t="s">
        <v>116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7"/>
      <c r="V26" s="138"/>
      <c r="W26" s="138"/>
      <c r="X26" s="138"/>
      <c r="Y26" s="138"/>
      <c r="Z26" s="138"/>
      <c r="AA26" s="138"/>
      <c r="AB26" s="138"/>
      <c r="AC26" s="139"/>
    </row>
    <row r="27" spans="1:29" ht="25.5" x14ac:dyDescent="0.25">
      <c r="A27" s="134" t="s">
        <v>218</v>
      </c>
      <c r="B27" s="122" t="s">
        <v>117</v>
      </c>
      <c r="C27" s="121" t="s">
        <v>118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7"/>
      <c r="V27" s="138"/>
      <c r="W27" s="138"/>
      <c r="X27" s="138"/>
      <c r="Y27" s="138"/>
      <c r="Z27" s="138"/>
      <c r="AA27" s="138"/>
      <c r="AB27" s="138"/>
      <c r="AC27" s="139"/>
    </row>
    <row r="28" spans="1:29" x14ac:dyDescent="0.25">
      <c r="A28" s="134"/>
      <c r="B28" s="153" t="s">
        <v>120</v>
      </c>
      <c r="C28" s="125" t="s">
        <v>121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7"/>
      <c r="V28" s="138"/>
      <c r="W28" s="138"/>
      <c r="X28" s="138"/>
      <c r="Y28" s="138"/>
      <c r="Z28" s="138"/>
      <c r="AA28" s="138"/>
      <c r="AB28" s="138"/>
      <c r="AC28" s="139"/>
    </row>
    <row r="29" spans="1:29" x14ac:dyDescent="0.25">
      <c r="A29" s="134"/>
      <c r="B29" s="153" t="s">
        <v>123</v>
      </c>
      <c r="C29" s="125" t="s">
        <v>124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7"/>
      <c r="V29" s="138"/>
      <c r="W29" s="138"/>
      <c r="X29" s="138"/>
      <c r="Y29" s="138"/>
      <c r="Z29" s="138"/>
      <c r="AA29" s="138"/>
      <c r="AB29" s="138"/>
      <c r="AC29" s="139"/>
    </row>
    <row r="30" spans="1:29" x14ac:dyDescent="0.25">
      <c r="A30" s="134"/>
      <c r="B30" s="153" t="s">
        <v>126</v>
      </c>
      <c r="C30" s="125" t="s">
        <v>127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7"/>
      <c r="V30" s="138"/>
      <c r="W30" s="138"/>
      <c r="X30" s="138"/>
      <c r="Y30" s="138"/>
      <c r="Z30" s="138"/>
      <c r="AA30" s="138"/>
      <c r="AB30" s="138"/>
      <c r="AC30" s="139"/>
    </row>
    <row r="31" spans="1:29" x14ac:dyDescent="0.25">
      <c r="A31" s="134"/>
      <c r="B31" s="153" t="s">
        <v>129</v>
      </c>
      <c r="C31" s="125" t="s">
        <v>130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7"/>
      <c r="V31" s="138"/>
      <c r="W31" s="138"/>
      <c r="X31" s="138"/>
      <c r="Y31" s="138"/>
      <c r="Z31" s="138"/>
      <c r="AA31" s="138"/>
      <c r="AB31" s="138"/>
      <c r="AC31" s="139"/>
    </row>
    <row r="32" spans="1:29" x14ac:dyDescent="0.25">
      <c r="A32" s="134"/>
      <c r="B32" s="153" t="s">
        <v>132</v>
      </c>
      <c r="C32" s="125" t="s">
        <v>133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7"/>
      <c r="V32" s="138"/>
      <c r="W32" s="138"/>
      <c r="X32" s="138"/>
      <c r="Y32" s="138"/>
      <c r="Z32" s="138"/>
      <c r="AA32" s="138"/>
      <c r="AB32" s="138"/>
      <c r="AC32" s="139"/>
    </row>
    <row r="33" spans="1:29" x14ac:dyDescent="0.25">
      <c r="A33" s="134"/>
      <c r="B33" s="153" t="s">
        <v>135</v>
      </c>
      <c r="C33" s="125" t="s">
        <v>136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7"/>
      <c r="V33" s="138"/>
      <c r="W33" s="138"/>
      <c r="X33" s="138"/>
      <c r="Y33" s="138"/>
      <c r="Z33" s="138"/>
      <c r="AA33" s="138"/>
      <c r="AB33" s="138"/>
      <c r="AC33" s="139"/>
    </row>
    <row r="34" spans="1:29" x14ac:dyDescent="0.25">
      <c r="A34" s="134"/>
      <c r="B34" s="153" t="s">
        <v>138</v>
      </c>
      <c r="C34" s="125" t="s">
        <v>139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7"/>
      <c r="V34" s="138"/>
      <c r="W34" s="138"/>
      <c r="X34" s="138"/>
      <c r="Y34" s="138"/>
      <c r="Z34" s="138"/>
      <c r="AA34" s="138"/>
      <c r="AB34" s="138"/>
      <c r="AC34" s="139"/>
    </row>
    <row r="35" spans="1:29" x14ac:dyDescent="0.25">
      <c r="A35" s="134"/>
      <c r="B35" s="153" t="s">
        <v>141</v>
      </c>
      <c r="C35" s="125" t="s">
        <v>142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7"/>
      <c r="V35" s="138"/>
      <c r="W35" s="138"/>
      <c r="X35" s="138"/>
      <c r="Y35" s="138"/>
      <c r="Z35" s="138"/>
      <c r="AA35" s="138"/>
      <c r="AB35" s="138"/>
      <c r="AC35" s="139"/>
    </row>
    <row r="36" spans="1:29" x14ac:dyDescent="0.25">
      <c r="A36" s="134"/>
      <c r="B36" s="154" t="s">
        <v>262</v>
      </c>
      <c r="C36" s="125" t="s">
        <v>145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7"/>
      <c r="V36" s="138"/>
      <c r="W36" s="138"/>
      <c r="X36" s="138"/>
      <c r="Y36" s="138"/>
      <c r="Z36" s="138"/>
      <c r="AA36" s="138"/>
      <c r="AB36" s="138"/>
      <c r="AC36" s="139"/>
    </row>
    <row r="37" spans="1:29" x14ac:dyDescent="0.25">
      <c r="A37" s="134"/>
      <c r="B37" s="155" t="s">
        <v>263</v>
      </c>
      <c r="C37" s="124" t="s">
        <v>148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7"/>
      <c r="V37" s="138"/>
      <c r="W37" s="138"/>
      <c r="X37" s="138"/>
      <c r="Y37" s="138"/>
      <c r="Z37" s="138"/>
      <c r="AA37" s="138"/>
      <c r="AB37" s="138"/>
      <c r="AC37" s="139"/>
    </row>
    <row r="38" spans="1:29" x14ac:dyDescent="0.25">
      <c r="A38" s="134"/>
      <c r="B38" s="155" t="s">
        <v>264</v>
      </c>
      <c r="C38" s="124" t="s">
        <v>151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7"/>
      <c r="V38" s="138"/>
      <c r="W38" s="138"/>
      <c r="X38" s="138"/>
      <c r="Y38" s="138"/>
      <c r="Z38" s="138"/>
      <c r="AA38" s="138"/>
      <c r="AB38" s="138"/>
      <c r="AC38" s="139"/>
    </row>
    <row r="39" spans="1:29" x14ac:dyDescent="0.25">
      <c r="A39" s="134"/>
      <c r="B39" s="155" t="s">
        <v>265</v>
      </c>
      <c r="C39" s="124" t="s">
        <v>154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7"/>
      <c r="V39" s="138"/>
      <c r="W39" s="138"/>
      <c r="X39" s="138"/>
      <c r="Y39" s="138"/>
      <c r="Z39" s="138"/>
      <c r="AA39" s="138"/>
      <c r="AB39" s="138"/>
      <c r="AC39" s="139"/>
    </row>
    <row r="40" spans="1:29" ht="24" customHeight="1" x14ac:dyDescent="0.25">
      <c r="A40" s="134"/>
      <c r="B40" s="155" t="s">
        <v>266</v>
      </c>
      <c r="C40" s="124" t="s">
        <v>157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7"/>
      <c r="V40" s="138"/>
      <c r="W40" s="138"/>
      <c r="X40" s="138"/>
      <c r="Y40" s="138"/>
      <c r="Z40" s="138"/>
      <c r="AA40" s="138"/>
      <c r="AB40" s="138"/>
      <c r="AC40" s="139"/>
    </row>
    <row r="41" spans="1:29" x14ac:dyDescent="0.25">
      <c r="A41" s="134"/>
      <c r="B41" s="153" t="s">
        <v>159</v>
      </c>
      <c r="C41" s="125" t="s">
        <v>160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7"/>
      <c r="V41" s="138"/>
      <c r="W41" s="138"/>
      <c r="X41" s="138"/>
      <c r="Y41" s="138"/>
      <c r="Z41" s="138"/>
      <c r="AA41" s="138"/>
      <c r="AB41" s="138"/>
      <c r="AC41" s="139"/>
    </row>
    <row r="42" spans="1:29" x14ac:dyDescent="0.25">
      <c r="A42" s="134"/>
      <c r="B42" s="153" t="s">
        <v>162</v>
      </c>
      <c r="C42" s="125" t="s">
        <v>163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7"/>
      <c r="V42" s="138"/>
      <c r="W42" s="138"/>
      <c r="X42" s="138"/>
      <c r="Y42" s="138"/>
      <c r="Z42" s="138"/>
      <c r="AA42" s="138"/>
      <c r="AB42" s="138"/>
      <c r="AC42" s="139"/>
    </row>
    <row r="43" spans="1:29" x14ac:dyDescent="0.25">
      <c r="A43" s="134"/>
      <c r="B43" s="153" t="s">
        <v>165</v>
      </c>
      <c r="C43" s="125" t="s">
        <v>166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7"/>
      <c r="V43" s="138"/>
      <c r="W43" s="138"/>
      <c r="X43" s="138"/>
      <c r="Y43" s="138"/>
      <c r="Z43" s="138"/>
      <c r="AA43" s="138"/>
      <c r="AB43" s="138"/>
      <c r="AC43" s="139"/>
    </row>
    <row r="44" spans="1:29" x14ac:dyDescent="0.25">
      <c r="A44" s="134" t="s">
        <v>167</v>
      </c>
      <c r="B44" s="122" t="s">
        <v>168</v>
      </c>
      <c r="C44" s="121" t="s">
        <v>169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7"/>
      <c r="V44" s="138"/>
      <c r="W44" s="138"/>
      <c r="X44" s="138"/>
      <c r="Y44" s="138"/>
      <c r="Z44" s="138"/>
      <c r="AA44" s="138"/>
      <c r="AB44" s="138"/>
      <c r="AC44" s="139"/>
    </row>
    <row r="45" spans="1:29" s="133" customFormat="1" x14ac:dyDescent="0.25">
      <c r="A45" s="134" t="s">
        <v>219</v>
      </c>
      <c r="B45" s="122" t="s">
        <v>170</v>
      </c>
      <c r="C45" s="121" t="s">
        <v>171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7"/>
      <c r="V45" s="151"/>
      <c r="W45" s="151"/>
      <c r="X45" s="151"/>
      <c r="Y45" s="151"/>
      <c r="Z45" s="151"/>
      <c r="AA45" s="151"/>
      <c r="AB45" s="151"/>
      <c r="AC45" s="152"/>
    </row>
    <row r="46" spans="1:29" x14ac:dyDescent="0.25">
      <c r="A46" s="134" t="s">
        <v>220</v>
      </c>
      <c r="B46" s="122" t="s">
        <v>172</v>
      </c>
      <c r="C46" s="121" t="s">
        <v>173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58"/>
      <c r="V46" s="138"/>
      <c r="W46" s="138"/>
      <c r="X46" s="138"/>
      <c r="Y46" s="138"/>
      <c r="Z46" s="138"/>
      <c r="AA46" s="138"/>
      <c r="AB46" s="138"/>
      <c r="AC46" s="139"/>
    </row>
    <row r="47" spans="1:29" x14ac:dyDescent="0.25">
      <c r="A47" s="134" t="s">
        <v>221</v>
      </c>
      <c r="B47" s="122" t="s">
        <v>174</v>
      </c>
      <c r="C47" s="121" t="s">
        <v>175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8"/>
      <c r="V47" s="138"/>
      <c r="W47" s="138"/>
      <c r="X47" s="138"/>
      <c r="Y47" s="138"/>
      <c r="Z47" s="138"/>
      <c r="AA47" s="138"/>
      <c r="AB47" s="138"/>
      <c r="AC47" s="139"/>
    </row>
    <row r="48" spans="1:29" x14ac:dyDescent="0.25">
      <c r="A48" s="134" t="s">
        <v>222</v>
      </c>
      <c r="B48" s="122" t="s">
        <v>176</v>
      </c>
      <c r="C48" s="121" t="s">
        <v>177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58"/>
      <c r="V48" s="138"/>
      <c r="W48" s="138"/>
      <c r="X48" s="138"/>
      <c r="Y48" s="138"/>
      <c r="Z48" s="138"/>
      <c r="AA48" s="138"/>
      <c r="AB48" s="138"/>
      <c r="AC48" s="139"/>
    </row>
    <row r="49" spans="1:29" x14ac:dyDescent="0.25">
      <c r="A49" s="134" t="s">
        <v>223</v>
      </c>
      <c r="B49" s="122" t="s">
        <v>178</v>
      </c>
      <c r="C49" s="121" t="s">
        <v>179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8"/>
      <c r="V49" s="138"/>
      <c r="W49" s="138"/>
      <c r="X49" s="138"/>
      <c r="Y49" s="138"/>
      <c r="Z49" s="138"/>
      <c r="AA49" s="138"/>
      <c r="AB49" s="138"/>
      <c r="AC49" s="139"/>
    </row>
    <row r="50" spans="1:29" x14ac:dyDescent="0.25">
      <c r="A50" s="134" t="s">
        <v>224</v>
      </c>
      <c r="B50" s="122" t="s">
        <v>180</v>
      </c>
      <c r="C50" s="121" t="s">
        <v>181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58"/>
      <c r="V50" s="138"/>
      <c r="W50" s="138"/>
      <c r="X50" s="138"/>
      <c r="Y50" s="138"/>
      <c r="Z50" s="138"/>
      <c r="AA50" s="138"/>
      <c r="AB50" s="138"/>
      <c r="AC50" s="139"/>
    </row>
    <row r="51" spans="1:29" x14ac:dyDescent="0.25">
      <c r="A51" s="134" t="s">
        <v>225</v>
      </c>
      <c r="B51" s="122" t="s">
        <v>182</v>
      </c>
      <c r="C51" s="121" t="s">
        <v>183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8"/>
      <c r="V51" s="138"/>
      <c r="W51" s="138"/>
      <c r="X51" s="138"/>
      <c r="Y51" s="138"/>
      <c r="Z51" s="138"/>
      <c r="AA51" s="138"/>
      <c r="AB51" s="138"/>
      <c r="AC51" s="139"/>
    </row>
    <row r="52" spans="1:29" x14ac:dyDescent="0.25">
      <c r="A52" s="134" t="s">
        <v>226</v>
      </c>
      <c r="B52" s="122" t="s">
        <v>184</v>
      </c>
      <c r="C52" s="121" t="s">
        <v>185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58"/>
      <c r="V52" s="138"/>
      <c r="W52" s="138"/>
      <c r="X52" s="138"/>
      <c r="Y52" s="138"/>
      <c r="Z52" s="138"/>
      <c r="AA52" s="138"/>
      <c r="AB52" s="138"/>
      <c r="AC52" s="139"/>
    </row>
    <row r="53" spans="1:29" x14ac:dyDescent="0.25">
      <c r="A53" s="134" t="s">
        <v>227</v>
      </c>
      <c r="B53" s="122" t="s">
        <v>186</v>
      </c>
      <c r="C53" s="121" t="s">
        <v>187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58"/>
      <c r="V53" s="138"/>
      <c r="W53" s="138"/>
      <c r="X53" s="138"/>
      <c r="Y53" s="138"/>
      <c r="Z53" s="138"/>
      <c r="AA53" s="138"/>
      <c r="AB53" s="138"/>
      <c r="AC53" s="139"/>
    </row>
    <row r="54" spans="1:29" x14ac:dyDescent="0.25">
      <c r="A54" s="134" t="s">
        <v>228</v>
      </c>
      <c r="B54" s="122" t="s">
        <v>188</v>
      </c>
      <c r="C54" s="121" t="s">
        <v>189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58"/>
      <c r="V54" s="138"/>
      <c r="W54" s="138"/>
      <c r="X54" s="138"/>
      <c r="Y54" s="138"/>
      <c r="Z54" s="138"/>
      <c r="AA54" s="138"/>
      <c r="AB54" s="138"/>
      <c r="AC54" s="139"/>
    </row>
    <row r="55" spans="1:29" x14ac:dyDescent="0.25">
      <c r="A55" s="159" t="s">
        <v>229</v>
      </c>
      <c r="B55" s="160" t="s">
        <v>190</v>
      </c>
      <c r="C55" s="161" t="s">
        <v>191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62"/>
      <c r="W55" s="162"/>
      <c r="X55" s="162"/>
      <c r="Y55" s="162"/>
      <c r="Z55" s="162"/>
      <c r="AA55" s="162"/>
      <c r="AB55" s="162"/>
      <c r="AC55" s="164"/>
    </row>
  </sheetData>
  <mergeCells count="20">
    <mergeCell ref="A1:B1"/>
    <mergeCell ref="AB1:AC1"/>
    <mergeCell ref="A2:AC2"/>
    <mergeCell ref="A3:AC3"/>
    <mergeCell ref="A5:A6"/>
    <mergeCell ref="B5:B6"/>
    <mergeCell ref="C5:C6"/>
    <mergeCell ref="D5:E5"/>
    <mergeCell ref="F5:G5"/>
    <mergeCell ref="H5:I5"/>
    <mergeCell ref="V5:W5"/>
    <mergeCell ref="X5:Y5"/>
    <mergeCell ref="Z5:AA5"/>
    <mergeCell ref="AB5:AC5"/>
    <mergeCell ref="J5:K5"/>
    <mergeCell ref="L5:M5"/>
    <mergeCell ref="N5:O5"/>
    <mergeCell ref="P5:Q5"/>
    <mergeCell ref="R5:S5"/>
    <mergeCell ref="T5:U5"/>
  </mergeCells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51"/>
  <sheetViews>
    <sheetView tabSelected="1" topLeftCell="A49" workbookViewId="0">
      <selection activeCell="F10" sqref="F10"/>
    </sheetView>
  </sheetViews>
  <sheetFormatPr defaultColWidth="9.140625" defaultRowHeight="12.75" x14ac:dyDescent="0.25"/>
  <cols>
    <col min="1" max="1" width="7" style="166" customWidth="1"/>
    <col min="2" max="2" width="76.5703125" style="167" customWidth="1"/>
    <col min="3" max="3" width="12.7109375" style="168" customWidth="1"/>
    <col min="4" max="4" width="10.28515625" style="168" customWidth="1"/>
    <col min="5" max="5" width="11.140625" style="169" customWidth="1"/>
    <col min="6" max="6" width="15.140625" style="168" customWidth="1"/>
    <col min="7" max="7" width="14" style="230" customWidth="1"/>
    <col min="8" max="8" width="10.7109375" style="170" customWidth="1"/>
    <col min="9" max="13" width="0" style="172" hidden="1" customWidth="1"/>
    <col min="14" max="16" width="0" style="229" hidden="1" customWidth="1"/>
    <col min="17" max="71" width="0" style="172" hidden="1" customWidth="1"/>
    <col min="72" max="72" width="13.5703125" style="172" customWidth="1"/>
    <col min="73" max="16384" width="9.140625" style="172"/>
  </cols>
  <sheetData>
    <row r="1" spans="1:71" x14ac:dyDescent="0.25">
      <c r="I1" s="171"/>
      <c r="J1" s="171"/>
      <c r="K1" s="171" t="s">
        <v>44</v>
      </c>
      <c r="L1" s="171" t="s">
        <v>47</v>
      </c>
      <c r="M1" s="171" t="s">
        <v>50</v>
      </c>
      <c r="N1" s="171"/>
      <c r="O1" s="171" t="s">
        <v>55</v>
      </c>
      <c r="P1" s="171" t="s">
        <v>57</v>
      </c>
      <c r="Q1" s="171" t="s">
        <v>60</v>
      </c>
      <c r="R1" s="171"/>
      <c r="S1" s="171" t="s">
        <v>65</v>
      </c>
      <c r="T1" s="171" t="s">
        <v>67</v>
      </c>
      <c r="U1" s="171" t="s">
        <v>69</v>
      </c>
      <c r="V1" s="171"/>
      <c r="W1" s="171" t="s">
        <v>74</v>
      </c>
      <c r="X1" s="171" t="s">
        <v>76</v>
      </c>
      <c r="Y1" s="171" t="s">
        <v>78</v>
      </c>
      <c r="Z1" s="171"/>
      <c r="AA1" s="171" t="s">
        <v>83</v>
      </c>
      <c r="AB1" s="171" t="s">
        <v>85</v>
      </c>
      <c r="AC1" s="171" t="s">
        <v>87</v>
      </c>
      <c r="AD1" s="171" t="s">
        <v>90</v>
      </c>
      <c r="AE1" s="171" t="s">
        <v>93</v>
      </c>
      <c r="AF1" s="171" t="s">
        <v>95</v>
      </c>
      <c r="AG1" s="171"/>
      <c r="AH1" s="171" t="s">
        <v>100</v>
      </c>
      <c r="AI1" s="171" t="s">
        <v>103</v>
      </c>
      <c r="AJ1" s="171" t="s">
        <v>106</v>
      </c>
      <c r="AK1" s="171" t="s">
        <v>108</v>
      </c>
      <c r="AL1" s="171" t="s">
        <v>110</v>
      </c>
      <c r="AM1" s="171" t="s">
        <v>112</v>
      </c>
      <c r="AN1" s="171" t="s">
        <v>114</v>
      </c>
      <c r="AO1" s="171" t="s">
        <v>116</v>
      </c>
      <c r="AP1" s="171"/>
      <c r="AQ1" s="171" t="s">
        <v>121</v>
      </c>
      <c r="AR1" s="171" t="s">
        <v>124</v>
      </c>
      <c r="AS1" s="171" t="s">
        <v>127</v>
      </c>
      <c r="AT1" s="171" t="s">
        <v>130</v>
      </c>
      <c r="AU1" s="171" t="s">
        <v>133</v>
      </c>
      <c r="AV1" s="171" t="s">
        <v>136</v>
      </c>
      <c r="AW1" s="171" t="s">
        <v>139</v>
      </c>
      <c r="AX1" s="171" t="s">
        <v>142</v>
      </c>
      <c r="AY1" s="171" t="s">
        <v>145</v>
      </c>
      <c r="AZ1" s="171" t="s">
        <v>148</v>
      </c>
      <c r="BA1" s="171" t="s">
        <v>151</v>
      </c>
      <c r="BB1" s="171" t="s">
        <v>154</v>
      </c>
      <c r="BC1" s="171" t="s">
        <v>157</v>
      </c>
      <c r="BD1" s="171" t="s">
        <v>160</v>
      </c>
      <c r="BE1" s="171" t="s">
        <v>163</v>
      </c>
      <c r="BF1" s="171" t="s">
        <v>166</v>
      </c>
      <c r="BG1" s="171" t="s">
        <v>169</v>
      </c>
      <c r="BH1" s="171" t="s">
        <v>171</v>
      </c>
      <c r="BI1" s="171" t="s">
        <v>173</v>
      </c>
      <c r="BJ1" s="171" t="s">
        <v>175</v>
      </c>
      <c r="BK1" s="171" t="s">
        <v>177</v>
      </c>
      <c r="BL1" s="171" t="s">
        <v>179</v>
      </c>
      <c r="BM1" s="171" t="s">
        <v>181</v>
      </c>
      <c r="BN1" s="171" t="s">
        <v>183</v>
      </c>
      <c r="BO1" s="171" t="s">
        <v>185</v>
      </c>
      <c r="BP1" s="171" t="s">
        <v>187</v>
      </c>
      <c r="BQ1" s="171" t="s">
        <v>189</v>
      </c>
      <c r="BR1" s="171" t="s">
        <v>191</v>
      </c>
      <c r="BS1" s="171" t="s">
        <v>193</v>
      </c>
    </row>
    <row r="2" spans="1:71" ht="15.75" x14ac:dyDescent="0.25">
      <c r="A2" s="258" t="s">
        <v>342</v>
      </c>
      <c r="B2" s="258"/>
      <c r="C2" s="258"/>
      <c r="D2" s="258"/>
      <c r="E2" s="258"/>
      <c r="F2" s="258"/>
      <c r="G2" s="258"/>
      <c r="H2" s="258"/>
      <c r="I2" s="173"/>
      <c r="J2" s="173"/>
      <c r="K2" s="173"/>
      <c r="L2" s="173"/>
      <c r="M2" s="173"/>
      <c r="N2" s="174"/>
      <c r="O2" s="174"/>
      <c r="P2" s="174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</row>
    <row r="3" spans="1:71" ht="15.75" x14ac:dyDescent="0.25">
      <c r="A3" s="258" t="s">
        <v>249</v>
      </c>
      <c r="B3" s="258"/>
      <c r="C3" s="258"/>
      <c r="D3" s="258"/>
      <c r="E3" s="258"/>
      <c r="F3" s="258"/>
      <c r="G3" s="258"/>
      <c r="H3" s="258"/>
      <c r="I3" s="173"/>
      <c r="J3" s="173"/>
      <c r="K3" s="173"/>
      <c r="L3" s="173"/>
      <c r="M3" s="173"/>
      <c r="N3" s="174"/>
      <c r="O3" s="174"/>
      <c r="P3" s="174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</row>
    <row r="4" spans="1:71" x14ac:dyDescent="0.25">
      <c r="B4" s="175"/>
      <c r="E4" s="176"/>
      <c r="G4" s="175"/>
      <c r="H4" s="177"/>
      <c r="I4" s="178">
        <v>9</v>
      </c>
      <c r="J4" s="178">
        <v>10</v>
      </c>
      <c r="K4" s="178">
        <v>11</v>
      </c>
      <c r="L4" s="178">
        <v>12</v>
      </c>
      <c r="M4" s="178">
        <v>13</v>
      </c>
      <c r="N4" s="178">
        <v>14</v>
      </c>
      <c r="O4" s="178">
        <v>15</v>
      </c>
      <c r="P4" s="178">
        <v>16</v>
      </c>
      <c r="Q4" s="178">
        <v>17</v>
      </c>
      <c r="R4" s="178">
        <v>18</v>
      </c>
      <c r="S4" s="178">
        <v>19</v>
      </c>
      <c r="T4" s="178">
        <v>20</v>
      </c>
      <c r="U4" s="178">
        <v>21</v>
      </c>
      <c r="V4" s="178">
        <v>22</v>
      </c>
      <c r="W4" s="178">
        <v>23</v>
      </c>
      <c r="X4" s="178">
        <v>24</v>
      </c>
      <c r="Y4" s="178">
        <v>25</v>
      </c>
      <c r="Z4" s="178">
        <v>26</v>
      </c>
      <c r="AA4" s="178">
        <v>27</v>
      </c>
      <c r="AB4" s="178">
        <v>28</v>
      </c>
      <c r="AC4" s="178">
        <v>29</v>
      </c>
      <c r="AD4" s="178">
        <v>30</v>
      </c>
      <c r="AE4" s="178">
        <v>31</v>
      </c>
      <c r="AF4" s="178">
        <v>32</v>
      </c>
      <c r="AG4" s="178">
        <v>33</v>
      </c>
      <c r="AH4" s="178">
        <v>34</v>
      </c>
      <c r="AI4" s="178">
        <v>35</v>
      </c>
      <c r="AJ4" s="178">
        <v>36</v>
      </c>
      <c r="AK4" s="178">
        <v>37</v>
      </c>
      <c r="AL4" s="178">
        <v>38</v>
      </c>
      <c r="AM4" s="178">
        <v>39</v>
      </c>
      <c r="AN4" s="178">
        <v>40</v>
      </c>
      <c r="AO4" s="178">
        <v>41</v>
      </c>
      <c r="AP4" s="178">
        <v>42</v>
      </c>
      <c r="AQ4" s="178">
        <v>43</v>
      </c>
      <c r="AR4" s="178">
        <v>44</v>
      </c>
      <c r="AS4" s="178">
        <v>45</v>
      </c>
      <c r="AT4" s="178">
        <v>46</v>
      </c>
      <c r="AU4" s="178">
        <v>47</v>
      </c>
      <c r="AV4" s="178">
        <v>48</v>
      </c>
      <c r="AW4" s="178">
        <v>49</v>
      </c>
      <c r="AX4" s="178">
        <v>50</v>
      </c>
      <c r="AY4" s="178">
        <v>51</v>
      </c>
      <c r="AZ4" s="178">
        <v>52</v>
      </c>
      <c r="BA4" s="178">
        <v>53</v>
      </c>
      <c r="BB4" s="178">
        <v>54</v>
      </c>
      <c r="BC4" s="178">
        <v>55</v>
      </c>
      <c r="BD4" s="178">
        <v>56</v>
      </c>
      <c r="BE4" s="178">
        <v>57</v>
      </c>
      <c r="BF4" s="178">
        <v>58</v>
      </c>
      <c r="BG4" s="178">
        <v>59</v>
      </c>
      <c r="BH4" s="178">
        <v>60</v>
      </c>
      <c r="BI4" s="178">
        <v>61</v>
      </c>
      <c r="BJ4" s="178">
        <v>62</v>
      </c>
      <c r="BK4" s="178">
        <v>63</v>
      </c>
      <c r="BL4" s="178">
        <v>64</v>
      </c>
      <c r="BM4" s="178">
        <v>65</v>
      </c>
      <c r="BN4" s="178">
        <v>66</v>
      </c>
      <c r="BO4" s="178">
        <v>67</v>
      </c>
      <c r="BP4" s="178">
        <v>68</v>
      </c>
      <c r="BQ4" s="178">
        <v>69</v>
      </c>
      <c r="BR4" s="178">
        <v>70</v>
      </c>
      <c r="BS4" s="178">
        <v>71</v>
      </c>
    </row>
    <row r="5" spans="1:71" x14ac:dyDescent="0.25">
      <c r="A5" s="259" t="s">
        <v>0</v>
      </c>
      <c r="B5" s="259" t="s">
        <v>267</v>
      </c>
      <c r="C5" s="260" t="s">
        <v>268</v>
      </c>
      <c r="D5" s="260" t="s">
        <v>269</v>
      </c>
      <c r="E5" s="262" t="s">
        <v>261</v>
      </c>
      <c r="F5" s="260" t="s">
        <v>270</v>
      </c>
      <c r="G5" s="259" t="s">
        <v>336</v>
      </c>
      <c r="H5" s="262" t="s">
        <v>271</v>
      </c>
      <c r="I5" s="256" t="s">
        <v>272</v>
      </c>
      <c r="J5" s="256"/>
      <c r="K5" s="256"/>
      <c r="L5" s="256"/>
      <c r="M5" s="256"/>
      <c r="N5" s="257"/>
      <c r="O5" s="257"/>
      <c r="P5" s="257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</row>
    <row r="6" spans="1:71" s="166" customFormat="1" ht="84" x14ac:dyDescent="0.25">
      <c r="A6" s="259"/>
      <c r="B6" s="259"/>
      <c r="C6" s="261"/>
      <c r="D6" s="261"/>
      <c r="E6" s="262"/>
      <c r="F6" s="261"/>
      <c r="G6" s="259"/>
      <c r="H6" s="262"/>
      <c r="I6" s="179" t="s">
        <v>37</v>
      </c>
      <c r="J6" s="180" t="s">
        <v>40</v>
      </c>
      <c r="K6" s="181" t="s">
        <v>273</v>
      </c>
      <c r="L6" s="181" t="s">
        <v>274</v>
      </c>
      <c r="M6" s="181" t="s">
        <v>49</v>
      </c>
      <c r="N6" s="182" t="s">
        <v>52</v>
      </c>
      <c r="O6" s="183" t="s">
        <v>54</v>
      </c>
      <c r="P6" s="183" t="s">
        <v>56</v>
      </c>
      <c r="Q6" s="180" t="s">
        <v>59</v>
      </c>
      <c r="R6" s="184" t="s">
        <v>62</v>
      </c>
      <c r="S6" s="185" t="s">
        <v>275</v>
      </c>
      <c r="T6" s="185" t="s">
        <v>276</v>
      </c>
      <c r="U6" s="185" t="s">
        <v>68</v>
      </c>
      <c r="V6" s="180" t="s">
        <v>71</v>
      </c>
      <c r="W6" s="185" t="s">
        <v>73</v>
      </c>
      <c r="X6" s="185" t="s">
        <v>75</v>
      </c>
      <c r="Y6" s="185" t="s">
        <v>77</v>
      </c>
      <c r="Z6" s="180" t="s">
        <v>80</v>
      </c>
      <c r="AA6" s="185" t="s">
        <v>82</v>
      </c>
      <c r="AB6" s="185" t="s">
        <v>84</v>
      </c>
      <c r="AC6" s="185" t="s">
        <v>86</v>
      </c>
      <c r="AD6" s="184" t="s">
        <v>89</v>
      </c>
      <c r="AE6" s="184" t="s">
        <v>92</v>
      </c>
      <c r="AF6" s="184" t="s">
        <v>94</v>
      </c>
      <c r="AG6" s="186" t="s">
        <v>96</v>
      </c>
      <c r="AH6" s="184" t="s">
        <v>99</v>
      </c>
      <c r="AI6" s="184" t="s">
        <v>102</v>
      </c>
      <c r="AJ6" s="184" t="s">
        <v>105</v>
      </c>
      <c r="AK6" s="184" t="s">
        <v>107</v>
      </c>
      <c r="AL6" s="184" t="s">
        <v>109</v>
      </c>
      <c r="AM6" s="184" t="s">
        <v>111</v>
      </c>
      <c r="AN6" s="184" t="s">
        <v>113</v>
      </c>
      <c r="AO6" s="184" t="s">
        <v>277</v>
      </c>
      <c r="AP6" s="186" t="s">
        <v>117</v>
      </c>
      <c r="AQ6" s="185" t="s">
        <v>231</v>
      </c>
      <c r="AR6" s="185" t="s">
        <v>278</v>
      </c>
      <c r="AS6" s="185" t="s">
        <v>232</v>
      </c>
      <c r="AT6" s="185" t="s">
        <v>233</v>
      </c>
      <c r="AU6" s="185" t="s">
        <v>234</v>
      </c>
      <c r="AV6" s="185" t="s">
        <v>235</v>
      </c>
      <c r="AW6" s="185" t="s">
        <v>279</v>
      </c>
      <c r="AX6" s="185" t="s">
        <v>236</v>
      </c>
      <c r="AY6" s="185" t="s">
        <v>237</v>
      </c>
      <c r="AZ6" s="185" t="s">
        <v>280</v>
      </c>
      <c r="BA6" s="185" t="s">
        <v>150</v>
      </c>
      <c r="BB6" s="185" t="s">
        <v>281</v>
      </c>
      <c r="BC6" s="185" t="s">
        <v>156</v>
      </c>
      <c r="BD6" s="185" t="s">
        <v>282</v>
      </c>
      <c r="BE6" s="185" t="s">
        <v>238</v>
      </c>
      <c r="BF6" s="185" t="s">
        <v>239</v>
      </c>
      <c r="BG6" s="184" t="s">
        <v>168</v>
      </c>
      <c r="BH6" s="184" t="s">
        <v>170</v>
      </c>
      <c r="BI6" s="184" t="s">
        <v>172</v>
      </c>
      <c r="BJ6" s="184" t="s">
        <v>174</v>
      </c>
      <c r="BK6" s="184" t="s">
        <v>176</v>
      </c>
      <c r="BL6" s="187" t="s">
        <v>178</v>
      </c>
      <c r="BM6" s="184" t="s">
        <v>180</v>
      </c>
      <c r="BN6" s="184" t="s">
        <v>182</v>
      </c>
      <c r="BO6" s="184" t="s">
        <v>184</v>
      </c>
      <c r="BP6" s="184" t="s">
        <v>186</v>
      </c>
      <c r="BQ6" s="184" t="s">
        <v>188</v>
      </c>
      <c r="BR6" s="184" t="s">
        <v>190</v>
      </c>
      <c r="BS6" s="186" t="s">
        <v>192</v>
      </c>
    </row>
    <row r="7" spans="1:71" s="193" customFormat="1" x14ac:dyDescent="0.25">
      <c r="A7" s="202" t="s">
        <v>35</v>
      </c>
      <c r="B7" s="234" t="s">
        <v>21</v>
      </c>
      <c r="C7" s="190"/>
      <c r="D7" s="190"/>
      <c r="E7" s="191"/>
      <c r="F7" s="192"/>
      <c r="G7" s="231"/>
      <c r="H7" s="188"/>
      <c r="I7" s="194"/>
      <c r="J7" s="194"/>
      <c r="K7" s="194"/>
      <c r="L7" s="195"/>
      <c r="M7" s="195"/>
      <c r="N7" s="195"/>
      <c r="O7" s="196"/>
      <c r="P7" s="196"/>
      <c r="Q7" s="197"/>
      <c r="R7" s="195"/>
      <c r="S7" s="197"/>
      <c r="T7" s="197"/>
      <c r="U7" s="197"/>
      <c r="V7" s="195"/>
      <c r="W7" s="197"/>
      <c r="X7" s="197"/>
      <c r="Y7" s="197"/>
      <c r="Z7" s="197"/>
      <c r="AA7" s="197"/>
      <c r="AB7" s="197"/>
      <c r="AC7" s="197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8"/>
    </row>
    <row r="8" spans="1:71" s="193" customFormat="1" x14ac:dyDescent="0.25">
      <c r="A8" s="188">
        <v>1</v>
      </c>
      <c r="B8" s="189" t="s">
        <v>337</v>
      </c>
      <c r="C8" s="190" t="s">
        <v>287</v>
      </c>
      <c r="D8" s="190" t="s">
        <v>175</v>
      </c>
      <c r="E8" s="191">
        <v>1.49</v>
      </c>
      <c r="F8" s="192" t="s">
        <v>285</v>
      </c>
      <c r="G8" s="231" t="s">
        <v>290</v>
      </c>
      <c r="H8" s="188" t="s">
        <v>335</v>
      </c>
      <c r="I8" s="194">
        <f t="shared" ref="I8" si="0">J8+N8+Q8+R8+V8+Z8+AD8+AE8+AF8</f>
        <v>0.63</v>
      </c>
      <c r="J8" s="194">
        <f t="shared" ref="J8" si="1">K8+L8+M8</f>
        <v>0</v>
      </c>
      <c r="K8" s="194"/>
      <c r="L8" s="195"/>
      <c r="M8" s="195"/>
      <c r="N8" s="195">
        <f t="shared" ref="N8" si="2">O8+P8</f>
        <v>0</v>
      </c>
      <c r="O8" s="196"/>
      <c r="P8" s="196"/>
      <c r="Q8" s="197">
        <v>0.63</v>
      </c>
      <c r="R8" s="195">
        <f t="shared" ref="R8" si="3">S8+T8+U8</f>
        <v>0</v>
      </c>
      <c r="S8" s="197"/>
      <c r="T8" s="197"/>
      <c r="U8" s="197"/>
      <c r="V8" s="195">
        <f t="shared" ref="V8" si="4">W8+X8+Y8</f>
        <v>0</v>
      </c>
      <c r="W8" s="197"/>
      <c r="X8" s="197"/>
      <c r="Y8" s="197"/>
      <c r="Z8" s="197">
        <f t="shared" ref="Z8" si="5">AA8+AB8+AC8</f>
        <v>0</v>
      </c>
      <c r="AA8" s="197"/>
      <c r="AB8" s="197"/>
      <c r="AC8" s="197"/>
      <c r="AD8" s="195"/>
      <c r="AE8" s="195"/>
      <c r="AF8" s="195"/>
      <c r="AG8" s="195">
        <f t="shared" ref="AG8" si="6">SUM(AH8:AP8)+SUM(BG8:BR8)</f>
        <v>0</v>
      </c>
      <c r="AH8" s="195"/>
      <c r="AI8" s="195"/>
      <c r="AJ8" s="195"/>
      <c r="AK8" s="195"/>
      <c r="AL8" s="195"/>
      <c r="AM8" s="195"/>
      <c r="AN8" s="195"/>
      <c r="AO8" s="195"/>
      <c r="AP8" s="195">
        <f t="shared" ref="AP8" si="7">SUM(AQ8:BF8)</f>
        <v>0</v>
      </c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8"/>
    </row>
    <row r="9" spans="1:71" s="193" customFormat="1" x14ac:dyDescent="0.25">
      <c r="A9" s="188">
        <v>2</v>
      </c>
      <c r="B9" s="189" t="s">
        <v>345</v>
      </c>
      <c r="C9" s="190" t="s">
        <v>287</v>
      </c>
      <c r="D9" s="190" t="s">
        <v>175</v>
      </c>
      <c r="E9" s="233">
        <v>0.03</v>
      </c>
      <c r="F9" s="192" t="s">
        <v>289</v>
      </c>
      <c r="G9" s="231" t="s">
        <v>283</v>
      </c>
      <c r="H9" s="188" t="s">
        <v>335</v>
      </c>
      <c r="I9" s="194"/>
      <c r="J9" s="194"/>
      <c r="K9" s="194"/>
      <c r="L9" s="195"/>
      <c r="M9" s="195"/>
      <c r="N9" s="195"/>
      <c r="O9" s="196"/>
      <c r="P9" s="196"/>
      <c r="Q9" s="197"/>
      <c r="R9" s="195"/>
      <c r="S9" s="197"/>
      <c r="T9" s="197"/>
      <c r="U9" s="197"/>
      <c r="V9" s="195"/>
      <c r="W9" s="197"/>
      <c r="X9" s="197"/>
      <c r="Y9" s="197"/>
      <c r="Z9" s="197"/>
      <c r="AA9" s="197"/>
      <c r="AB9" s="197"/>
      <c r="AC9" s="197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8"/>
    </row>
    <row r="10" spans="1:71" s="193" customFormat="1" x14ac:dyDescent="0.25">
      <c r="A10" s="188">
        <v>3</v>
      </c>
      <c r="B10" s="189" t="s">
        <v>346</v>
      </c>
      <c r="C10" s="190" t="s">
        <v>287</v>
      </c>
      <c r="D10" s="190" t="s">
        <v>175</v>
      </c>
      <c r="E10" s="233">
        <v>0.05</v>
      </c>
      <c r="F10" s="192" t="s">
        <v>289</v>
      </c>
      <c r="G10" s="231" t="s">
        <v>283</v>
      </c>
      <c r="H10" s="188" t="s">
        <v>335</v>
      </c>
      <c r="I10" s="194"/>
      <c r="J10" s="194"/>
      <c r="K10" s="194"/>
      <c r="L10" s="195"/>
      <c r="M10" s="195"/>
      <c r="N10" s="195"/>
      <c r="O10" s="196"/>
      <c r="P10" s="196"/>
      <c r="Q10" s="197"/>
      <c r="R10" s="195"/>
      <c r="S10" s="197"/>
      <c r="T10" s="197"/>
      <c r="U10" s="197"/>
      <c r="V10" s="195"/>
      <c r="W10" s="197"/>
      <c r="X10" s="197"/>
      <c r="Y10" s="197"/>
      <c r="Z10" s="197"/>
      <c r="AA10" s="197"/>
      <c r="AB10" s="197"/>
      <c r="AC10" s="197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8"/>
    </row>
    <row r="11" spans="1:71" s="193" customFormat="1" x14ac:dyDescent="0.25">
      <c r="A11" s="188" t="s">
        <v>240</v>
      </c>
      <c r="B11" s="234" t="s">
        <v>15</v>
      </c>
      <c r="C11" s="190"/>
      <c r="D11" s="190"/>
      <c r="E11" s="191"/>
      <c r="F11" s="192"/>
      <c r="G11" s="231"/>
      <c r="H11" s="188"/>
      <c r="I11" s="194"/>
      <c r="J11" s="194"/>
      <c r="K11" s="194"/>
      <c r="L11" s="195"/>
      <c r="M11" s="195"/>
      <c r="N11" s="195"/>
      <c r="O11" s="196"/>
      <c r="P11" s="196"/>
      <c r="Q11" s="197"/>
      <c r="R11" s="195"/>
      <c r="S11" s="197"/>
      <c r="T11" s="197"/>
      <c r="U11" s="197"/>
      <c r="V11" s="195"/>
      <c r="W11" s="197"/>
      <c r="X11" s="197"/>
      <c r="Y11" s="197"/>
      <c r="Z11" s="197"/>
      <c r="AA11" s="197"/>
      <c r="AB11" s="197"/>
      <c r="AC11" s="197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8"/>
    </row>
    <row r="12" spans="1:71" s="193" customFormat="1" x14ac:dyDescent="0.25">
      <c r="A12" s="188">
        <v>4</v>
      </c>
      <c r="B12" s="189" t="s">
        <v>292</v>
      </c>
      <c r="C12" s="190" t="s">
        <v>291</v>
      </c>
      <c r="D12" s="190" t="s">
        <v>177</v>
      </c>
      <c r="E12" s="191">
        <v>0.25</v>
      </c>
      <c r="F12" s="192" t="s">
        <v>288</v>
      </c>
      <c r="G12" s="231" t="s">
        <v>283</v>
      </c>
      <c r="H12" s="188" t="s">
        <v>335</v>
      </c>
      <c r="I12" s="194">
        <f t="shared" ref="I12:I14" si="8">J12+N12+Q12+R12+V12+Z12+AD12+AE12+AF12</f>
        <v>2.98</v>
      </c>
      <c r="J12" s="194">
        <f t="shared" ref="J12:J14" si="9">K12+L12+M12</f>
        <v>2.98</v>
      </c>
      <c r="K12" s="194">
        <v>2.98</v>
      </c>
      <c r="L12" s="195"/>
      <c r="M12" s="195"/>
      <c r="N12" s="195">
        <f t="shared" ref="N12:N14" si="10">O12+P12</f>
        <v>0</v>
      </c>
      <c r="O12" s="195"/>
      <c r="P12" s="195"/>
      <c r="Q12" s="195"/>
      <c r="R12" s="195">
        <f t="shared" ref="R12:R14" si="11">S12+T12+U12</f>
        <v>0</v>
      </c>
      <c r="S12" s="195"/>
      <c r="T12" s="195"/>
      <c r="U12" s="195"/>
      <c r="V12" s="195">
        <f t="shared" ref="V12:V14" si="12">W12+X12+Y12</f>
        <v>0</v>
      </c>
      <c r="W12" s="195"/>
      <c r="X12" s="195"/>
      <c r="Y12" s="195"/>
      <c r="Z12" s="195">
        <f t="shared" ref="Z12:Z14" si="13">AA12+AB12+AC12</f>
        <v>0</v>
      </c>
      <c r="AA12" s="195"/>
      <c r="AB12" s="195"/>
      <c r="AC12" s="195"/>
      <c r="AD12" s="195"/>
      <c r="AE12" s="195"/>
      <c r="AF12" s="195"/>
      <c r="AG12" s="195">
        <f t="shared" ref="AG12:AG14" si="14">SUM(AH12:AP12)+SUM(BG12:BR12)</f>
        <v>0.08</v>
      </c>
      <c r="AH12" s="195"/>
      <c r="AI12" s="195"/>
      <c r="AJ12" s="195"/>
      <c r="AK12" s="195"/>
      <c r="AL12" s="195"/>
      <c r="AM12" s="195"/>
      <c r="AN12" s="195"/>
      <c r="AO12" s="195"/>
      <c r="AP12" s="195">
        <f t="shared" ref="AP12:AP14" si="15">SUM(AQ12:BF12)</f>
        <v>0</v>
      </c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>
        <v>0.08</v>
      </c>
      <c r="BQ12" s="195"/>
      <c r="BR12" s="195"/>
      <c r="BS12" s="199"/>
    </row>
    <row r="13" spans="1:71" s="193" customFormat="1" x14ac:dyDescent="0.25">
      <c r="A13" s="188">
        <v>5</v>
      </c>
      <c r="B13" s="201" t="s">
        <v>293</v>
      </c>
      <c r="C13" s="190" t="s">
        <v>291</v>
      </c>
      <c r="D13" s="190" t="s">
        <v>177</v>
      </c>
      <c r="E13" s="191">
        <v>5.4</v>
      </c>
      <c r="F13" s="192" t="s">
        <v>288</v>
      </c>
      <c r="G13" s="231" t="s">
        <v>283</v>
      </c>
      <c r="H13" s="188" t="s">
        <v>335</v>
      </c>
      <c r="I13" s="194">
        <f t="shared" si="8"/>
        <v>3.5</v>
      </c>
      <c r="J13" s="194">
        <f t="shared" si="9"/>
        <v>3.5</v>
      </c>
      <c r="K13" s="194">
        <v>3.5</v>
      </c>
      <c r="L13" s="195"/>
      <c r="M13" s="195"/>
      <c r="N13" s="195">
        <f t="shared" si="10"/>
        <v>0</v>
      </c>
      <c r="O13" s="195"/>
      <c r="P13" s="195"/>
      <c r="Q13" s="195"/>
      <c r="R13" s="195">
        <f t="shared" si="11"/>
        <v>0</v>
      </c>
      <c r="S13" s="195"/>
      <c r="T13" s="195"/>
      <c r="U13" s="195"/>
      <c r="V13" s="195">
        <f t="shared" si="12"/>
        <v>0</v>
      </c>
      <c r="W13" s="195"/>
      <c r="X13" s="195"/>
      <c r="Y13" s="195"/>
      <c r="Z13" s="195">
        <f t="shared" si="13"/>
        <v>0</v>
      </c>
      <c r="AA13" s="195"/>
      <c r="AB13" s="195"/>
      <c r="AC13" s="195"/>
      <c r="AD13" s="195"/>
      <c r="AE13" s="195"/>
      <c r="AF13" s="195"/>
      <c r="AG13" s="195">
        <f t="shared" si="14"/>
        <v>0</v>
      </c>
      <c r="AH13" s="195"/>
      <c r="AI13" s="195"/>
      <c r="AJ13" s="195"/>
      <c r="AK13" s="195"/>
      <c r="AL13" s="195"/>
      <c r="AM13" s="195"/>
      <c r="AN13" s="195"/>
      <c r="AO13" s="195"/>
      <c r="AP13" s="195">
        <f t="shared" si="15"/>
        <v>0</v>
      </c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9"/>
    </row>
    <row r="14" spans="1:71" s="193" customFormat="1" x14ac:dyDescent="0.25">
      <c r="A14" s="188">
        <v>6</v>
      </c>
      <c r="B14" s="201" t="s">
        <v>294</v>
      </c>
      <c r="C14" s="190" t="s">
        <v>291</v>
      </c>
      <c r="D14" s="190" t="s">
        <v>177</v>
      </c>
      <c r="E14" s="191">
        <v>0.27</v>
      </c>
      <c r="F14" s="192" t="s">
        <v>288</v>
      </c>
      <c r="G14" s="231" t="s">
        <v>283</v>
      </c>
      <c r="H14" s="188">
        <v>2022</v>
      </c>
      <c r="I14" s="194">
        <f t="shared" si="8"/>
        <v>15.379999999999999</v>
      </c>
      <c r="J14" s="194">
        <f t="shared" si="9"/>
        <v>9.5</v>
      </c>
      <c r="K14" s="194">
        <v>9.5</v>
      </c>
      <c r="L14" s="195"/>
      <c r="M14" s="195"/>
      <c r="N14" s="195">
        <f t="shared" si="10"/>
        <v>0.32</v>
      </c>
      <c r="O14" s="195"/>
      <c r="P14" s="195">
        <v>0.32</v>
      </c>
      <c r="Q14" s="195">
        <v>5.56</v>
      </c>
      <c r="R14" s="195">
        <f t="shared" si="11"/>
        <v>0</v>
      </c>
      <c r="S14" s="195"/>
      <c r="T14" s="195"/>
      <c r="U14" s="195"/>
      <c r="V14" s="195">
        <f t="shared" si="12"/>
        <v>0</v>
      </c>
      <c r="W14" s="195"/>
      <c r="X14" s="195"/>
      <c r="Y14" s="195"/>
      <c r="Z14" s="195">
        <f t="shared" si="13"/>
        <v>0</v>
      </c>
      <c r="AA14" s="195"/>
      <c r="AB14" s="195"/>
      <c r="AC14" s="195"/>
      <c r="AD14" s="195"/>
      <c r="AE14" s="195"/>
      <c r="AF14" s="195"/>
      <c r="AG14" s="195">
        <f t="shared" si="14"/>
        <v>0.25</v>
      </c>
      <c r="AH14" s="195"/>
      <c r="AI14" s="195"/>
      <c r="AJ14" s="195"/>
      <c r="AK14" s="195"/>
      <c r="AL14" s="195"/>
      <c r="AM14" s="195"/>
      <c r="AN14" s="195"/>
      <c r="AO14" s="195"/>
      <c r="AP14" s="195">
        <f t="shared" si="15"/>
        <v>0.25</v>
      </c>
      <c r="AQ14" s="195">
        <v>0.2</v>
      </c>
      <c r="AR14" s="195">
        <v>0.05</v>
      </c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9">
        <v>0.3</v>
      </c>
    </row>
    <row r="15" spans="1:71" s="193" customFormat="1" x14ac:dyDescent="0.25">
      <c r="A15" s="202" t="s">
        <v>254</v>
      </c>
      <c r="B15" s="234" t="s">
        <v>14</v>
      </c>
      <c r="C15" s="190"/>
      <c r="D15" s="190"/>
      <c r="E15" s="191"/>
      <c r="F15" s="192"/>
      <c r="G15" s="231"/>
      <c r="H15" s="188"/>
      <c r="I15" s="194"/>
      <c r="J15" s="194"/>
      <c r="K15" s="194"/>
      <c r="L15" s="195"/>
      <c r="M15" s="195"/>
      <c r="N15" s="195"/>
      <c r="O15" s="195"/>
      <c r="P15" s="195"/>
      <c r="Q15" s="195"/>
      <c r="R15" s="195"/>
      <c r="S15" s="203"/>
      <c r="T15" s="203"/>
      <c r="U15" s="203"/>
      <c r="V15" s="195"/>
      <c r="W15" s="203"/>
      <c r="X15" s="203"/>
      <c r="Y15" s="203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204"/>
    </row>
    <row r="16" spans="1:71" s="205" customFormat="1" x14ac:dyDescent="0.2">
      <c r="A16" s="188">
        <v>7</v>
      </c>
      <c r="B16" s="189" t="s">
        <v>297</v>
      </c>
      <c r="C16" s="190" t="s">
        <v>296</v>
      </c>
      <c r="D16" s="190" t="s">
        <v>175</v>
      </c>
      <c r="E16" s="206">
        <v>0.15</v>
      </c>
      <c r="F16" s="192" t="s">
        <v>289</v>
      </c>
      <c r="G16" s="231" t="s">
        <v>284</v>
      </c>
      <c r="H16" s="188" t="s">
        <v>335</v>
      </c>
      <c r="I16" s="209">
        <f t="shared" ref="I16:I20" si="16">J16+N16+Q16+R16+V16+Z16+AD16+AE16+AF16</f>
        <v>0</v>
      </c>
      <c r="J16" s="209">
        <f t="shared" ref="J16:J20" si="17">K16+L16+M16</f>
        <v>0</v>
      </c>
      <c r="K16" s="209"/>
      <c r="L16" s="208"/>
      <c r="M16" s="208"/>
      <c r="N16" s="195">
        <f t="shared" ref="N16:N20" si="18">O16+P16</f>
        <v>0</v>
      </c>
      <c r="O16" s="207"/>
      <c r="P16" s="207"/>
      <c r="Q16" s="208"/>
      <c r="R16" s="195">
        <f t="shared" ref="R16:R20" si="19">S16+T16+U16</f>
        <v>0</v>
      </c>
      <c r="S16" s="208"/>
      <c r="T16" s="208"/>
      <c r="U16" s="208"/>
      <c r="V16" s="195">
        <f t="shared" ref="V16:V20" si="20">W16+X16+Y16</f>
        <v>0</v>
      </c>
      <c r="W16" s="208"/>
      <c r="X16" s="208"/>
      <c r="Y16" s="208"/>
      <c r="Z16" s="207">
        <f t="shared" ref="Z16:Z20" si="21">AA16+AB16+AC16</f>
        <v>0</v>
      </c>
      <c r="AA16" s="207"/>
      <c r="AB16" s="207"/>
      <c r="AC16" s="207"/>
      <c r="AD16" s="208"/>
      <c r="AE16" s="208"/>
      <c r="AF16" s="208"/>
      <c r="AG16" s="208">
        <f t="shared" ref="AG16:AG20" si="22">SUM(AH16:AP16)+SUM(BG16:BR16)</f>
        <v>0.05</v>
      </c>
      <c r="AH16" s="208"/>
      <c r="AI16" s="208"/>
      <c r="AJ16" s="208"/>
      <c r="AK16" s="208"/>
      <c r="AL16" s="208"/>
      <c r="AM16" s="208"/>
      <c r="AN16" s="208"/>
      <c r="AO16" s="208"/>
      <c r="AP16" s="208">
        <f t="shared" ref="AP16:AP20" si="23">SUM(AQ16:BF16)</f>
        <v>0.05</v>
      </c>
      <c r="AQ16" s="208"/>
      <c r="AR16" s="208"/>
      <c r="AS16" s="208"/>
      <c r="AT16" s="208"/>
      <c r="AU16" s="208">
        <v>0.05</v>
      </c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0"/>
    </row>
    <row r="17" spans="1:71" s="205" customFormat="1" x14ac:dyDescent="0.2">
      <c r="A17" s="188">
        <v>8</v>
      </c>
      <c r="B17" s="189" t="s">
        <v>298</v>
      </c>
      <c r="C17" s="190" t="s">
        <v>296</v>
      </c>
      <c r="D17" s="190" t="s">
        <v>175</v>
      </c>
      <c r="E17" s="206">
        <v>0.1</v>
      </c>
      <c r="F17" s="192" t="s">
        <v>44</v>
      </c>
      <c r="G17" s="231" t="s">
        <v>284</v>
      </c>
      <c r="H17" s="188" t="s">
        <v>335</v>
      </c>
      <c r="I17" s="209"/>
      <c r="J17" s="209"/>
      <c r="K17" s="209"/>
      <c r="L17" s="208"/>
      <c r="M17" s="208"/>
      <c r="N17" s="195"/>
      <c r="O17" s="207"/>
      <c r="P17" s="207"/>
      <c r="Q17" s="208"/>
      <c r="R17" s="195"/>
      <c r="S17" s="208"/>
      <c r="T17" s="208"/>
      <c r="U17" s="208"/>
      <c r="V17" s="195"/>
      <c r="W17" s="208"/>
      <c r="X17" s="208"/>
      <c r="Y17" s="208"/>
      <c r="Z17" s="207"/>
      <c r="AA17" s="207"/>
      <c r="AB17" s="207"/>
      <c r="AC17" s="207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0"/>
    </row>
    <row r="18" spans="1:71" s="205" customFormat="1" x14ac:dyDescent="0.25">
      <c r="A18" s="188">
        <v>9</v>
      </c>
      <c r="B18" s="189" t="s">
        <v>299</v>
      </c>
      <c r="C18" s="190" t="s">
        <v>296</v>
      </c>
      <c r="D18" s="190" t="s">
        <v>175</v>
      </c>
      <c r="E18" s="191">
        <v>1.83</v>
      </c>
      <c r="F18" s="192" t="s">
        <v>288</v>
      </c>
      <c r="G18" s="231" t="s">
        <v>283</v>
      </c>
      <c r="H18" s="188" t="s">
        <v>335</v>
      </c>
      <c r="I18" s="194">
        <f t="shared" si="16"/>
        <v>3</v>
      </c>
      <c r="J18" s="194">
        <f t="shared" si="17"/>
        <v>3</v>
      </c>
      <c r="K18" s="194">
        <v>3</v>
      </c>
      <c r="L18" s="195"/>
      <c r="M18" s="195"/>
      <c r="N18" s="195">
        <f t="shared" si="18"/>
        <v>0</v>
      </c>
      <c r="O18" s="195"/>
      <c r="P18" s="195"/>
      <c r="Q18" s="195"/>
      <c r="R18" s="195">
        <f t="shared" si="19"/>
        <v>0</v>
      </c>
      <c r="S18" s="195"/>
      <c r="T18" s="195"/>
      <c r="U18" s="195"/>
      <c r="V18" s="195">
        <f t="shared" si="20"/>
        <v>0</v>
      </c>
      <c r="W18" s="195"/>
      <c r="X18" s="195"/>
      <c r="Y18" s="195"/>
      <c r="Z18" s="195">
        <f t="shared" si="21"/>
        <v>0</v>
      </c>
      <c r="AA18" s="195"/>
      <c r="AB18" s="195"/>
      <c r="AC18" s="195"/>
      <c r="AD18" s="195"/>
      <c r="AE18" s="195"/>
      <c r="AF18" s="195"/>
      <c r="AG18" s="195">
        <f t="shared" si="22"/>
        <v>0</v>
      </c>
      <c r="AH18" s="195"/>
      <c r="AI18" s="195"/>
      <c r="AJ18" s="195"/>
      <c r="AK18" s="195"/>
      <c r="AL18" s="195"/>
      <c r="AM18" s="195"/>
      <c r="AN18" s="195"/>
      <c r="AO18" s="195"/>
      <c r="AP18" s="195">
        <f t="shared" si="23"/>
        <v>0</v>
      </c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9"/>
    </row>
    <row r="19" spans="1:71" s="205" customFormat="1" x14ac:dyDescent="0.25">
      <c r="A19" s="188">
        <v>10</v>
      </c>
      <c r="B19" s="189" t="s">
        <v>300</v>
      </c>
      <c r="C19" s="190" t="s">
        <v>296</v>
      </c>
      <c r="D19" s="190" t="s">
        <v>177</v>
      </c>
      <c r="E19" s="191">
        <v>1.32</v>
      </c>
      <c r="F19" s="192" t="s">
        <v>301</v>
      </c>
      <c r="G19" s="231" t="s">
        <v>283</v>
      </c>
      <c r="H19" s="188" t="s">
        <v>335</v>
      </c>
      <c r="I19" s="194">
        <f t="shared" si="16"/>
        <v>0.09</v>
      </c>
      <c r="J19" s="194">
        <f t="shared" si="17"/>
        <v>0.09</v>
      </c>
      <c r="K19" s="194">
        <v>0.09</v>
      </c>
      <c r="L19" s="195"/>
      <c r="M19" s="195"/>
      <c r="N19" s="195">
        <f t="shared" si="18"/>
        <v>0</v>
      </c>
      <c r="O19" s="195"/>
      <c r="P19" s="195"/>
      <c r="Q19" s="195"/>
      <c r="R19" s="195">
        <f t="shared" si="19"/>
        <v>0</v>
      </c>
      <c r="S19" s="195"/>
      <c r="T19" s="195"/>
      <c r="U19" s="195"/>
      <c r="V19" s="195">
        <f t="shared" si="20"/>
        <v>0</v>
      </c>
      <c r="W19" s="195"/>
      <c r="X19" s="195"/>
      <c r="Y19" s="195"/>
      <c r="Z19" s="195">
        <f t="shared" si="21"/>
        <v>0</v>
      </c>
      <c r="AA19" s="195"/>
      <c r="AB19" s="195"/>
      <c r="AC19" s="195"/>
      <c r="AD19" s="195"/>
      <c r="AE19" s="195"/>
      <c r="AF19" s="195"/>
      <c r="AG19" s="195">
        <f t="shared" si="22"/>
        <v>0</v>
      </c>
      <c r="AH19" s="195"/>
      <c r="AI19" s="195"/>
      <c r="AJ19" s="195"/>
      <c r="AK19" s="195"/>
      <c r="AL19" s="195"/>
      <c r="AM19" s="195"/>
      <c r="AN19" s="195"/>
      <c r="AO19" s="195"/>
      <c r="AP19" s="195">
        <f t="shared" si="23"/>
        <v>0</v>
      </c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9"/>
    </row>
    <row r="20" spans="1:71" s="205" customFormat="1" x14ac:dyDescent="0.25">
      <c r="A20" s="188">
        <v>11</v>
      </c>
      <c r="B20" s="189" t="s">
        <v>302</v>
      </c>
      <c r="C20" s="190" t="s">
        <v>296</v>
      </c>
      <c r="D20" s="190" t="s">
        <v>177</v>
      </c>
      <c r="E20" s="191">
        <v>0.56999999999999995</v>
      </c>
      <c r="F20" s="192" t="s">
        <v>288</v>
      </c>
      <c r="G20" s="231" t="s">
        <v>283</v>
      </c>
      <c r="H20" s="188" t="s">
        <v>335</v>
      </c>
      <c r="I20" s="194">
        <f t="shared" si="16"/>
        <v>0.56999999999999995</v>
      </c>
      <c r="J20" s="194">
        <f t="shared" si="17"/>
        <v>0.56999999999999995</v>
      </c>
      <c r="K20" s="194">
        <v>0.56999999999999995</v>
      </c>
      <c r="L20" s="195"/>
      <c r="M20" s="195"/>
      <c r="N20" s="195">
        <f t="shared" si="18"/>
        <v>0</v>
      </c>
      <c r="O20" s="195"/>
      <c r="P20" s="195"/>
      <c r="Q20" s="195"/>
      <c r="R20" s="195">
        <f t="shared" si="19"/>
        <v>0</v>
      </c>
      <c r="S20" s="195"/>
      <c r="T20" s="195"/>
      <c r="U20" s="195"/>
      <c r="V20" s="195">
        <f t="shared" si="20"/>
        <v>0</v>
      </c>
      <c r="W20" s="195"/>
      <c r="X20" s="195"/>
      <c r="Y20" s="195"/>
      <c r="Z20" s="195">
        <f t="shared" si="21"/>
        <v>0</v>
      </c>
      <c r="AA20" s="195"/>
      <c r="AB20" s="195"/>
      <c r="AC20" s="195"/>
      <c r="AD20" s="195"/>
      <c r="AE20" s="195"/>
      <c r="AF20" s="195"/>
      <c r="AG20" s="195">
        <f t="shared" si="22"/>
        <v>0</v>
      </c>
      <c r="AH20" s="195"/>
      <c r="AI20" s="195"/>
      <c r="AJ20" s="195"/>
      <c r="AK20" s="195"/>
      <c r="AL20" s="195"/>
      <c r="AM20" s="195"/>
      <c r="AN20" s="195"/>
      <c r="AO20" s="195"/>
      <c r="AP20" s="195">
        <f t="shared" si="23"/>
        <v>0</v>
      </c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9"/>
    </row>
    <row r="21" spans="1:71" s="193" customFormat="1" x14ac:dyDescent="0.25">
      <c r="A21" s="202" t="s">
        <v>255</v>
      </c>
      <c r="B21" s="234" t="s">
        <v>305</v>
      </c>
      <c r="C21" s="190"/>
      <c r="D21" s="190"/>
      <c r="E21" s="191"/>
      <c r="F21" s="192"/>
      <c r="G21" s="231"/>
      <c r="H21" s="188"/>
      <c r="I21" s="194"/>
      <c r="J21" s="194"/>
      <c r="K21" s="194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9"/>
    </row>
    <row r="22" spans="1:71" s="193" customFormat="1" x14ac:dyDescent="0.25">
      <c r="A22" s="188">
        <v>12</v>
      </c>
      <c r="B22" s="189" t="s">
        <v>338</v>
      </c>
      <c r="C22" s="190" t="s">
        <v>306</v>
      </c>
      <c r="D22" s="190" t="s">
        <v>175</v>
      </c>
      <c r="E22" s="191">
        <v>7.0000000000000007E-2</v>
      </c>
      <c r="F22" s="192" t="s">
        <v>130</v>
      </c>
      <c r="G22" s="231" t="s">
        <v>284</v>
      </c>
      <c r="H22" s="188" t="s">
        <v>335</v>
      </c>
      <c r="I22" s="194"/>
      <c r="J22" s="194"/>
      <c r="K22" s="194"/>
      <c r="L22" s="195"/>
      <c r="M22" s="195"/>
      <c r="N22" s="195"/>
      <c r="O22" s="195"/>
      <c r="P22" s="195"/>
      <c r="Q22" s="195"/>
      <c r="R22" s="195"/>
      <c r="S22" s="203"/>
      <c r="T22" s="203"/>
      <c r="U22" s="203"/>
      <c r="V22" s="195"/>
      <c r="W22" s="203"/>
      <c r="X22" s="203"/>
      <c r="Y22" s="203"/>
      <c r="Z22" s="203"/>
      <c r="AA22" s="203"/>
      <c r="AB22" s="203"/>
      <c r="AC22" s="203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204"/>
    </row>
    <row r="23" spans="1:71" s="193" customFormat="1" x14ac:dyDescent="0.25">
      <c r="A23" s="188">
        <v>13</v>
      </c>
      <c r="B23" s="189" t="s">
        <v>343</v>
      </c>
      <c r="C23" s="190" t="s">
        <v>306</v>
      </c>
      <c r="D23" s="190" t="s">
        <v>175</v>
      </c>
      <c r="E23" s="191">
        <v>1.5</v>
      </c>
      <c r="F23" s="192" t="s">
        <v>289</v>
      </c>
      <c r="G23" s="231" t="s">
        <v>284</v>
      </c>
      <c r="H23" s="188" t="s">
        <v>335</v>
      </c>
      <c r="I23" s="194"/>
      <c r="J23" s="194"/>
      <c r="K23" s="194"/>
      <c r="L23" s="195"/>
      <c r="M23" s="195"/>
      <c r="N23" s="195"/>
      <c r="O23" s="195"/>
      <c r="P23" s="195"/>
      <c r="Q23" s="195"/>
      <c r="R23" s="195"/>
      <c r="S23" s="203"/>
      <c r="T23" s="203"/>
      <c r="U23" s="203"/>
      <c r="V23" s="195"/>
      <c r="W23" s="203"/>
      <c r="X23" s="203"/>
      <c r="Y23" s="203"/>
      <c r="Z23" s="203"/>
      <c r="AA23" s="203"/>
      <c r="AB23" s="203"/>
      <c r="AC23" s="203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204"/>
    </row>
    <row r="24" spans="1:71" s="219" customFormat="1" x14ac:dyDescent="0.25">
      <c r="A24" s="188">
        <v>14</v>
      </c>
      <c r="B24" s="235" t="s">
        <v>8</v>
      </c>
      <c r="C24" s="213"/>
      <c r="D24" s="213"/>
      <c r="E24" s="214"/>
      <c r="F24" s="215"/>
      <c r="G24" s="232"/>
      <c r="H24" s="202"/>
      <c r="I24" s="216"/>
      <c r="J24" s="216"/>
      <c r="K24" s="207"/>
      <c r="L24" s="208"/>
      <c r="M24" s="208"/>
      <c r="N24" s="217"/>
      <c r="O24" s="208"/>
      <c r="P24" s="208"/>
      <c r="Q24" s="208"/>
      <c r="R24" s="217"/>
      <c r="S24" s="208"/>
      <c r="T24" s="208"/>
      <c r="U24" s="208"/>
      <c r="V24" s="217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21"/>
    </row>
    <row r="25" spans="1:71" s="193" customFormat="1" x14ac:dyDescent="0.25">
      <c r="A25" s="188">
        <v>15</v>
      </c>
      <c r="B25" s="189" t="s">
        <v>313</v>
      </c>
      <c r="C25" s="190" t="s">
        <v>311</v>
      </c>
      <c r="D25" s="190" t="s">
        <v>177</v>
      </c>
      <c r="E25" s="191">
        <v>0.16</v>
      </c>
      <c r="F25" s="192" t="s">
        <v>314</v>
      </c>
      <c r="G25" s="231" t="s">
        <v>283</v>
      </c>
      <c r="H25" s="188">
        <v>2022</v>
      </c>
      <c r="I25" s="194"/>
      <c r="J25" s="194"/>
      <c r="K25" s="194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9"/>
    </row>
    <row r="26" spans="1:71" s="219" customFormat="1" x14ac:dyDescent="0.25">
      <c r="A26" s="202" t="s">
        <v>295</v>
      </c>
      <c r="B26" s="235" t="s">
        <v>7</v>
      </c>
      <c r="C26" s="213"/>
      <c r="D26" s="213"/>
      <c r="E26" s="214"/>
      <c r="F26" s="215"/>
      <c r="G26" s="232"/>
      <c r="H26" s="202"/>
      <c r="I26" s="216"/>
      <c r="J26" s="216"/>
      <c r="K26" s="216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20"/>
    </row>
    <row r="27" spans="1:71" s="193" customFormat="1" x14ac:dyDescent="0.25">
      <c r="A27" s="188">
        <v>16</v>
      </c>
      <c r="B27" s="189" t="s">
        <v>317</v>
      </c>
      <c r="C27" s="190" t="s">
        <v>316</v>
      </c>
      <c r="D27" s="190" t="s">
        <v>175</v>
      </c>
      <c r="E27" s="191">
        <v>0.04</v>
      </c>
      <c r="F27" s="192" t="s">
        <v>309</v>
      </c>
      <c r="G27" s="231" t="s">
        <v>284</v>
      </c>
      <c r="H27" s="188" t="s">
        <v>335</v>
      </c>
      <c r="I27" s="194">
        <f t="shared" ref="I27" si="24">J27+N27+Q27+R27+V27+Z27+AD27+AE27+AF27</f>
        <v>0</v>
      </c>
      <c r="J27" s="194">
        <f t="shared" ref="J27" si="25">K27+L27+M27</f>
        <v>0</v>
      </c>
      <c r="K27" s="194"/>
      <c r="L27" s="195"/>
      <c r="M27" s="195"/>
      <c r="N27" s="195">
        <f t="shared" ref="N27" si="26">O27+P27</f>
        <v>0</v>
      </c>
      <c r="O27" s="195"/>
      <c r="P27" s="195"/>
      <c r="Q27" s="195"/>
      <c r="R27" s="195">
        <f t="shared" ref="R27" si="27">S27+T27+U27</f>
        <v>0</v>
      </c>
      <c r="S27" s="195"/>
      <c r="T27" s="195"/>
      <c r="U27" s="195"/>
      <c r="V27" s="195">
        <f t="shared" ref="V27" si="28">W27+X27+Y27</f>
        <v>0</v>
      </c>
      <c r="W27" s="195"/>
      <c r="X27" s="195"/>
      <c r="Y27" s="195"/>
      <c r="Z27" s="195">
        <f t="shared" ref="Z27" si="29">AA27+AB27+AC27</f>
        <v>0</v>
      </c>
      <c r="AA27" s="195"/>
      <c r="AB27" s="195"/>
      <c r="AC27" s="195"/>
      <c r="AD27" s="195"/>
      <c r="AE27" s="195"/>
      <c r="AF27" s="195"/>
      <c r="AG27" s="195">
        <f t="shared" ref="AG27" si="30">SUM(AH27:AP27)+SUM(BG27:BR27)</f>
        <v>0.04</v>
      </c>
      <c r="AH27" s="195"/>
      <c r="AI27" s="195"/>
      <c r="AJ27" s="195"/>
      <c r="AK27" s="195"/>
      <c r="AL27" s="195"/>
      <c r="AM27" s="195"/>
      <c r="AN27" s="195"/>
      <c r="AO27" s="195"/>
      <c r="AP27" s="195">
        <f t="shared" ref="AP27" si="31">SUM(AQ27:BF27)</f>
        <v>0.04</v>
      </c>
      <c r="AQ27" s="195"/>
      <c r="AR27" s="195"/>
      <c r="AS27" s="195">
        <v>0.04</v>
      </c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9"/>
    </row>
    <row r="28" spans="1:71" s="193" customFormat="1" x14ac:dyDescent="0.25">
      <c r="A28" s="188">
        <v>17</v>
      </c>
      <c r="B28" s="189" t="s">
        <v>344</v>
      </c>
      <c r="C28" s="190" t="s">
        <v>316</v>
      </c>
      <c r="D28" s="190" t="s">
        <v>175</v>
      </c>
      <c r="E28" s="191">
        <v>0.38</v>
      </c>
      <c r="F28" s="192" t="s">
        <v>163</v>
      </c>
      <c r="G28" s="231" t="s">
        <v>283</v>
      </c>
      <c r="H28" s="188" t="s">
        <v>335</v>
      </c>
      <c r="I28" s="194"/>
      <c r="J28" s="194"/>
      <c r="K28" s="194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9"/>
    </row>
    <row r="29" spans="1:71" s="219" customFormat="1" x14ac:dyDescent="0.2">
      <c r="A29" s="202" t="s">
        <v>303</v>
      </c>
      <c r="B29" s="235" t="s">
        <v>19</v>
      </c>
      <c r="C29" s="213"/>
      <c r="D29" s="213"/>
      <c r="E29" s="214"/>
      <c r="F29" s="215"/>
      <c r="G29" s="232"/>
      <c r="H29" s="202"/>
      <c r="I29" s="216"/>
      <c r="J29" s="216"/>
      <c r="K29" s="216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8"/>
    </row>
    <row r="30" spans="1:71" s="193" customFormat="1" x14ac:dyDescent="0.25">
      <c r="A30" s="188">
        <v>18</v>
      </c>
      <c r="B30" s="189" t="s">
        <v>319</v>
      </c>
      <c r="C30" s="190" t="s">
        <v>318</v>
      </c>
      <c r="D30" s="190" t="s">
        <v>175</v>
      </c>
      <c r="E30" s="222">
        <v>5.25</v>
      </c>
      <c r="F30" s="192" t="s">
        <v>320</v>
      </c>
      <c r="G30" s="231" t="s">
        <v>283</v>
      </c>
      <c r="H30" s="188" t="s">
        <v>335</v>
      </c>
      <c r="I30" s="210">
        <f t="shared" ref="I30:I32" si="32">J30+N30+Q30+R30+V30+Z30+AD30+AE30+AF30</f>
        <v>9.27</v>
      </c>
      <c r="J30" s="210">
        <f t="shared" ref="J30:J32" si="33">K30+L30+M30</f>
        <v>8</v>
      </c>
      <c r="K30" s="210">
        <v>8</v>
      </c>
      <c r="L30" s="197"/>
      <c r="M30" s="197"/>
      <c r="N30" s="195">
        <f t="shared" ref="N30:N32" si="34">O30+P30</f>
        <v>0.27</v>
      </c>
      <c r="O30" s="197"/>
      <c r="P30" s="197">
        <v>0.27</v>
      </c>
      <c r="Q30" s="197">
        <v>1</v>
      </c>
      <c r="R30" s="195">
        <f t="shared" ref="R30:R32" si="35">S30+T30+U30</f>
        <v>0</v>
      </c>
      <c r="S30" s="197"/>
      <c r="T30" s="197"/>
      <c r="U30" s="197"/>
      <c r="V30" s="195">
        <f t="shared" ref="V30:V32" si="36">W30+X30+Y30</f>
        <v>0</v>
      </c>
      <c r="W30" s="197"/>
      <c r="X30" s="197"/>
      <c r="Y30" s="197"/>
      <c r="Z30" s="197">
        <f t="shared" ref="Z30:Z32" si="37">AA30+AB30+AC30</f>
        <v>0</v>
      </c>
      <c r="AA30" s="197"/>
      <c r="AB30" s="197"/>
      <c r="AC30" s="197"/>
      <c r="AD30" s="197"/>
      <c r="AE30" s="197"/>
      <c r="AF30" s="197"/>
      <c r="AG30" s="197">
        <f t="shared" ref="AG30:AG32" si="38">SUM(AH30:AP30)+SUM(BG30:BR30)</f>
        <v>0</v>
      </c>
      <c r="AH30" s="197"/>
      <c r="AI30" s="197"/>
      <c r="AJ30" s="197"/>
      <c r="AK30" s="197"/>
      <c r="AL30" s="197"/>
      <c r="AM30" s="197"/>
      <c r="AN30" s="197"/>
      <c r="AO30" s="197"/>
      <c r="AP30" s="197">
        <f t="shared" ref="AP30:AP32" si="39">SUM(AQ30:BF30)</f>
        <v>0</v>
      </c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8"/>
    </row>
    <row r="31" spans="1:71" s="193" customFormat="1" x14ac:dyDescent="0.25">
      <c r="A31" s="188">
        <v>19</v>
      </c>
      <c r="B31" s="189" t="s">
        <v>321</v>
      </c>
      <c r="C31" s="190" t="s">
        <v>318</v>
      </c>
      <c r="D31" s="190" t="s">
        <v>177</v>
      </c>
      <c r="E31" s="222">
        <v>0.01</v>
      </c>
      <c r="F31" s="192" t="s">
        <v>288</v>
      </c>
      <c r="G31" s="231" t="s">
        <v>283</v>
      </c>
      <c r="H31" s="188" t="s">
        <v>335</v>
      </c>
      <c r="I31" s="210">
        <f t="shared" si="32"/>
        <v>2</v>
      </c>
      <c r="J31" s="210">
        <f t="shared" si="33"/>
        <v>2</v>
      </c>
      <c r="K31" s="210">
        <v>2</v>
      </c>
      <c r="L31" s="197"/>
      <c r="M31" s="197"/>
      <c r="N31" s="195">
        <f t="shared" si="34"/>
        <v>0</v>
      </c>
      <c r="O31" s="197"/>
      <c r="P31" s="197"/>
      <c r="Q31" s="197"/>
      <c r="R31" s="195">
        <f t="shared" si="35"/>
        <v>0</v>
      </c>
      <c r="S31" s="197"/>
      <c r="T31" s="197"/>
      <c r="U31" s="197"/>
      <c r="V31" s="195">
        <f t="shared" si="36"/>
        <v>0</v>
      </c>
      <c r="W31" s="197"/>
      <c r="X31" s="197"/>
      <c r="Y31" s="197"/>
      <c r="Z31" s="197">
        <f t="shared" si="37"/>
        <v>0</v>
      </c>
      <c r="AA31" s="197"/>
      <c r="AB31" s="197"/>
      <c r="AC31" s="197"/>
      <c r="AD31" s="197"/>
      <c r="AE31" s="197"/>
      <c r="AF31" s="197"/>
      <c r="AG31" s="197">
        <f t="shared" si="38"/>
        <v>0</v>
      </c>
      <c r="AH31" s="197"/>
      <c r="AI31" s="197"/>
      <c r="AJ31" s="197"/>
      <c r="AK31" s="197"/>
      <c r="AL31" s="197"/>
      <c r="AM31" s="197"/>
      <c r="AN31" s="197"/>
      <c r="AO31" s="197"/>
      <c r="AP31" s="197">
        <f t="shared" si="39"/>
        <v>0</v>
      </c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8"/>
    </row>
    <row r="32" spans="1:71" s="193" customFormat="1" x14ac:dyDescent="0.25">
      <c r="A32" s="188">
        <v>20</v>
      </c>
      <c r="B32" s="189" t="s">
        <v>322</v>
      </c>
      <c r="C32" s="190" t="s">
        <v>318</v>
      </c>
      <c r="D32" s="190" t="s">
        <v>177</v>
      </c>
      <c r="E32" s="191">
        <v>7.52</v>
      </c>
      <c r="F32" s="192" t="s">
        <v>288</v>
      </c>
      <c r="G32" s="231" t="s">
        <v>283</v>
      </c>
      <c r="H32" s="188" t="s">
        <v>335</v>
      </c>
      <c r="I32" s="194">
        <f t="shared" si="32"/>
        <v>20</v>
      </c>
      <c r="J32" s="194">
        <f t="shared" si="33"/>
        <v>20</v>
      </c>
      <c r="K32" s="194">
        <v>20</v>
      </c>
      <c r="L32" s="195"/>
      <c r="M32" s="195"/>
      <c r="N32" s="195">
        <f t="shared" si="34"/>
        <v>0</v>
      </c>
      <c r="O32" s="195"/>
      <c r="P32" s="195"/>
      <c r="Q32" s="195"/>
      <c r="R32" s="195">
        <f t="shared" si="35"/>
        <v>0</v>
      </c>
      <c r="S32" s="195"/>
      <c r="T32" s="195"/>
      <c r="U32" s="195"/>
      <c r="V32" s="195">
        <f t="shared" si="36"/>
        <v>0</v>
      </c>
      <c r="W32" s="195"/>
      <c r="X32" s="195"/>
      <c r="Y32" s="195"/>
      <c r="Z32" s="195">
        <f t="shared" si="37"/>
        <v>0</v>
      </c>
      <c r="AA32" s="195"/>
      <c r="AB32" s="195"/>
      <c r="AC32" s="195"/>
      <c r="AD32" s="195"/>
      <c r="AE32" s="195"/>
      <c r="AF32" s="195"/>
      <c r="AG32" s="195">
        <f t="shared" si="38"/>
        <v>0</v>
      </c>
      <c r="AH32" s="195"/>
      <c r="AI32" s="195"/>
      <c r="AJ32" s="195"/>
      <c r="AK32" s="195"/>
      <c r="AL32" s="195"/>
      <c r="AM32" s="195"/>
      <c r="AN32" s="195"/>
      <c r="AO32" s="195"/>
      <c r="AP32" s="195">
        <f t="shared" si="39"/>
        <v>0</v>
      </c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9"/>
    </row>
    <row r="33" spans="1:71" s="219" customFormat="1" x14ac:dyDescent="0.25">
      <c r="A33" s="202" t="s">
        <v>304</v>
      </c>
      <c r="B33" s="235" t="s">
        <v>323</v>
      </c>
      <c r="C33" s="213"/>
      <c r="D33" s="213"/>
      <c r="E33" s="214"/>
      <c r="F33" s="215"/>
      <c r="G33" s="232"/>
      <c r="H33" s="202"/>
      <c r="I33" s="216"/>
      <c r="J33" s="216"/>
      <c r="K33" s="216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20"/>
    </row>
    <row r="34" spans="1:71" s="193" customFormat="1" x14ac:dyDescent="0.25">
      <c r="A34" s="188">
        <v>21</v>
      </c>
      <c r="B34" s="189" t="s">
        <v>339</v>
      </c>
      <c r="C34" s="190" t="s">
        <v>324</v>
      </c>
      <c r="D34" s="190" t="s">
        <v>171</v>
      </c>
      <c r="E34" s="191">
        <v>0.02</v>
      </c>
      <c r="F34" s="192" t="s">
        <v>175</v>
      </c>
      <c r="G34" s="231" t="s">
        <v>284</v>
      </c>
      <c r="H34" s="188" t="s">
        <v>335</v>
      </c>
      <c r="I34" s="194"/>
      <c r="J34" s="194"/>
      <c r="K34" s="194"/>
      <c r="L34" s="195"/>
      <c r="M34" s="195"/>
      <c r="N34" s="195"/>
      <c r="O34" s="195"/>
      <c r="P34" s="195"/>
      <c r="Q34" s="195"/>
      <c r="R34" s="195"/>
      <c r="S34" s="203"/>
      <c r="T34" s="203"/>
      <c r="U34" s="203"/>
      <c r="V34" s="195"/>
      <c r="W34" s="203"/>
      <c r="X34" s="203"/>
      <c r="Y34" s="203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204"/>
    </row>
    <row r="35" spans="1:71" s="193" customFormat="1" x14ac:dyDescent="0.25">
      <c r="A35" s="188">
        <v>22</v>
      </c>
      <c r="B35" s="189" t="s">
        <v>340</v>
      </c>
      <c r="C35" s="190" t="s">
        <v>324</v>
      </c>
      <c r="D35" s="190" t="s">
        <v>133</v>
      </c>
      <c r="E35" s="191">
        <v>0.02</v>
      </c>
      <c r="F35" s="192" t="s">
        <v>175</v>
      </c>
      <c r="G35" s="231" t="s">
        <v>284</v>
      </c>
      <c r="H35" s="188" t="s">
        <v>335</v>
      </c>
      <c r="I35" s="194"/>
      <c r="J35" s="194"/>
      <c r="K35" s="194"/>
      <c r="L35" s="195"/>
      <c r="M35" s="195"/>
      <c r="N35" s="195"/>
      <c r="O35" s="195"/>
      <c r="P35" s="195"/>
      <c r="Q35" s="195"/>
      <c r="R35" s="195"/>
      <c r="S35" s="203"/>
      <c r="T35" s="203"/>
      <c r="U35" s="203"/>
      <c r="V35" s="195"/>
      <c r="W35" s="203"/>
      <c r="X35" s="203"/>
      <c r="Y35" s="203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204"/>
    </row>
    <row r="36" spans="1:71" s="193" customFormat="1" x14ac:dyDescent="0.25">
      <c r="A36" s="188">
        <v>23</v>
      </c>
      <c r="B36" s="189" t="s">
        <v>341</v>
      </c>
      <c r="C36" s="190" t="s">
        <v>324</v>
      </c>
      <c r="D36" s="190" t="s">
        <v>57</v>
      </c>
      <c r="E36" s="191">
        <v>0.04</v>
      </c>
      <c r="F36" s="192" t="s">
        <v>175</v>
      </c>
      <c r="G36" s="231" t="s">
        <v>284</v>
      </c>
      <c r="H36" s="188" t="s">
        <v>335</v>
      </c>
      <c r="I36" s="194"/>
      <c r="J36" s="194"/>
      <c r="K36" s="194"/>
      <c r="L36" s="195"/>
      <c r="M36" s="195"/>
      <c r="N36" s="195"/>
      <c r="O36" s="195"/>
      <c r="P36" s="195"/>
      <c r="Q36" s="195"/>
      <c r="R36" s="195"/>
      <c r="S36" s="203"/>
      <c r="T36" s="203"/>
      <c r="U36" s="203"/>
      <c r="V36" s="195"/>
      <c r="W36" s="203"/>
      <c r="X36" s="203"/>
      <c r="Y36" s="203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204"/>
    </row>
    <row r="37" spans="1:71" s="219" customFormat="1" x14ac:dyDescent="0.25">
      <c r="A37" s="202" t="s">
        <v>307</v>
      </c>
      <c r="B37" s="235" t="s">
        <v>253</v>
      </c>
      <c r="C37" s="213"/>
      <c r="D37" s="213"/>
      <c r="E37" s="214"/>
      <c r="F37" s="215"/>
      <c r="G37" s="232"/>
      <c r="H37" s="202"/>
      <c r="I37" s="216"/>
      <c r="J37" s="216"/>
      <c r="K37" s="216"/>
      <c r="L37" s="217"/>
      <c r="M37" s="217"/>
      <c r="N37" s="217"/>
      <c r="O37" s="223"/>
      <c r="P37" s="223"/>
      <c r="Q37" s="224"/>
      <c r="R37" s="217"/>
      <c r="S37" s="224"/>
      <c r="T37" s="224"/>
      <c r="U37" s="224"/>
      <c r="V37" s="217"/>
      <c r="W37" s="224"/>
      <c r="X37" s="224"/>
      <c r="Y37" s="224"/>
      <c r="Z37" s="224"/>
      <c r="AA37" s="224"/>
      <c r="AB37" s="224"/>
      <c r="AC37" s="224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28"/>
    </row>
    <row r="38" spans="1:71" s="193" customFormat="1" x14ac:dyDescent="0.25">
      <c r="A38" s="188">
        <v>24</v>
      </c>
      <c r="B38" s="189" t="s">
        <v>347</v>
      </c>
      <c r="C38" s="190" t="s">
        <v>325</v>
      </c>
      <c r="D38" s="190" t="s">
        <v>177</v>
      </c>
      <c r="E38" s="191">
        <v>0.3</v>
      </c>
      <c r="F38" s="192" t="s">
        <v>312</v>
      </c>
      <c r="G38" s="231" t="s">
        <v>283</v>
      </c>
      <c r="H38" s="188">
        <v>2022</v>
      </c>
      <c r="I38" s="194">
        <f t="shared" ref="I38" si="40">J38+N38+Q38+R38+V38+Z38+AD38+AE38+AF38</f>
        <v>0</v>
      </c>
      <c r="J38" s="194">
        <f t="shared" ref="J38" si="41">K38+L38+M38</f>
        <v>0</v>
      </c>
      <c r="K38" s="194"/>
      <c r="L38" s="195"/>
      <c r="M38" s="195"/>
      <c r="N38" s="195">
        <f t="shared" ref="N38" si="42">O38+P38</f>
        <v>0</v>
      </c>
      <c r="O38" s="195"/>
      <c r="P38" s="195"/>
      <c r="Q38" s="195"/>
      <c r="R38" s="195">
        <f t="shared" ref="R38" si="43">S38+T38+U38</f>
        <v>0</v>
      </c>
      <c r="S38" s="195"/>
      <c r="T38" s="195"/>
      <c r="U38" s="195"/>
      <c r="V38" s="195">
        <f t="shared" ref="V38" si="44">W38+X38+Y38</f>
        <v>0</v>
      </c>
      <c r="W38" s="195"/>
      <c r="X38" s="195"/>
      <c r="Y38" s="195"/>
      <c r="Z38" s="195">
        <f t="shared" ref="Z38" si="45">AA38+AB38+AC38</f>
        <v>0</v>
      </c>
      <c r="AA38" s="195"/>
      <c r="AB38" s="195"/>
      <c r="AC38" s="195"/>
      <c r="AD38" s="195"/>
      <c r="AE38" s="195"/>
      <c r="AF38" s="195"/>
      <c r="AG38" s="195">
        <f t="shared" ref="AG38" si="46">SUM(AH38:AP38)+SUM(BG38:BR38)</f>
        <v>0</v>
      </c>
      <c r="AH38" s="195"/>
      <c r="AI38" s="195"/>
      <c r="AJ38" s="195"/>
      <c r="AK38" s="195"/>
      <c r="AL38" s="195"/>
      <c r="AM38" s="195"/>
      <c r="AN38" s="195"/>
      <c r="AO38" s="195"/>
      <c r="AP38" s="195">
        <f t="shared" ref="AP38" si="47">SUM(AQ38:BF38)</f>
        <v>0</v>
      </c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9"/>
    </row>
    <row r="39" spans="1:71" s="193" customFormat="1" x14ac:dyDescent="0.25">
      <c r="A39" s="188">
        <v>25</v>
      </c>
      <c r="B39" s="189" t="s">
        <v>326</v>
      </c>
      <c r="C39" s="190" t="s">
        <v>325</v>
      </c>
      <c r="D39" s="190" t="s">
        <v>110</v>
      </c>
      <c r="E39" s="191">
        <v>0.33</v>
      </c>
      <c r="F39" s="192" t="s">
        <v>327</v>
      </c>
      <c r="G39" s="231" t="s">
        <v>283</v>
      </c>
      <c r="H39" s="188">
        <v>2022</v>
      </c>
      <c r="I39" s="194">
        <v>0</v>
      </c>
      <c r="J39" s="194">
        <v>0</v>
      </c>
      <c r="K39" s="194"/>
      <c r="L39" s="195"/>
      <c r="M39" s="195"/>
      <c r="N39" s="195">
        <v>0</v>
      </c>
      <c r="O39" s="195"/>
      <c r="P39" s="195"/>
      <c r="Q39" s="195"/>
      <c r="R39" s="195">
        <v>0</v>
      </c>
      <c r="S39" s="195"/>
      <c r="T39" s="195"/>
      <c r="U39" s="195"/>
      <c r="V39" s="195">
        <v>0</v>
      </c>
      <c r="W39" s="195"/>
      <c r="X39" s="195"/>
      <c r="Y39" s="195"/>
      <c r="Z39" s="195">
        <v>0</v>
      </c>
      <c r="AA39" s="195"/>
      <c r="AB39" s="195"/>
      <c r="AC39" s="195"/>
      <c r="AD39" s="195"/>
      <c r="AE39" s="195"/>
      <c r="AF39" s="195"/>
      <c r="AG39" s="195">
        <v>0.02</v>
      </c>
      <c r="AH39" s="195"/>
      <c r="AI39" s="195"/>
      <c r="AJ39" s="195"/>
      <c r="AK39" s="195"/>
      <c r="AL39" s="195"/>
      <c r="AM39" s="195"/>
      <c r="AN39" s="195"/>
      <c r="AO39" s="195"/>
      <c r="AP39" s="195">
        <v>0</v>
      </c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>
        <v>0.02</v>
      </c>
      <c r="BM39" s="195"/>
      <c r="BN39" s="195"/>
      <c r="BO39" s="195"/>
      <c r="BP39" s="195"/>
      <c r="BQ39" s="195"/>
      <c r="BR39" s="195"/>
      <c r="BS39" s="199"/>
    </row>
    <row r="40" spans="1:71" s="193" customFormat="1" x14ac:dyDescent="0.25">
      <c r="A40" s="188">
        <v>26</v>
      </c>
      <c r="B40" s="189" t="s">
        <v>328</v>
      </c>
      <c r="C40" s="190" t="s">
        <v>325</v>
      </c>
      <c r="D40" s="190" t="s">
        <v>112</v>
      </c>
      <c r="E40" s="191">
        <v>0.21</v>
      </c>
      <c r="F40" s="192" t="s">
        <v>315</v>
      </c>
      <c r="G40" s="231" t="s">
        <v>283</v>
      </c>
      <c r="H40" s="188" t="s">
        <v>335</v>
      </c>
      <c r="I40" s="194">
        <v>0</v>
      </c>
      <c r="J40" s="194">
        <v>0</v>
      </c>
      <c r="K40" s="194"/>
      <c r="L40" s="195"/>
      <c r="M40" s="195"/>
      <c r="N40" s="195">
        <v>0</v>
      </c>
      <c r="O40" s="195"/>
      <c r="P40" s="195"/>
      <c r="Q40" s="195"/>
      <c r="R40" s="195">
        <v>0</v>
      </c>
      <c r="S40" s="195"/>
      <c r="T40" s="195"/>
      <c r="U40" s="195"/>
      <c r="V40" s="195">
        <v>0</v>
      </c>
      <c r="W40" s="195"/>
      <c r="X40" s="195"/>
      <c r="Y40" s="195"/>
      <c r="Z40" s="195">
        <v>0</v>
      </c>
      <c r="AA40" s="195"/>
      <c r="AB40" s="195"/>
      <c r="AC40" s="195"/>
      <c r="AD40" s="195"/>
      <c r="AE40" s="195"/>
      <c r="AF40" s="195"/>
      <c r="AG40" s="195">
        <v>0.08</v>
      </c>
      <c r="AH40" s="195"/>
      <c r="AI40" s="195"/>
      <c r="AJ40" s="195"/>
      <c r="AK40" s="195"/>
      <c r="AL40" s="195"/>
      <c r="AM40" s="195"/>
      <c r="AN40" s="195"/>
      <c r="AO40" s="195"/>
      <c r="AP40" s="195">
        <v>0</v>
      </c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>
        <v>0.08</v>
      </c>
      <c r="BM40" s="195"/>
      <c r="BN40" s="195"/>
      <c r="BO40" s="195"/>
      <c r="BP40" s="195"/>
      <c r="BQ40" s="195"/>
      <c r="BR40" s="195"/>
      <c r="BS40" s="199"/>
    </row>
    <row r="41" spans="1:71" s="193" customFormat="1" x14ac:dyDescent="0.25">
      <c r="A41" s="188">
        <v>27</v>
      </c>
      <c r="B41" s="189" t="s">
        <v>329</v>
      </c>
      <c r="C41" s="190" t="s">
        <v>325</v>
      </c>
      <c r="D41" s="190" t="s">
        <v>177</v>
      </c>
      <c r="E41" s="191">
        <v>0.12</v>
      </c>
      <c r="F41" s="192" t="s">
        <v>177</v>
      </c>
      <c r="G41" s="231" t="s">
        <v>283</v>
      </c>
      <c r="H41" s="188" t="s">
        <v>335</v>
      </c>
      <c r="I41" s="194">
        <v>0</v>
      </c>
      <c r="J41" s="194">
        <v>0</v>
      </c>
      <c r="K41" s="194"/>
      <c r="L41" s="195"/>
      <c r="M41" s="195"/>
      <c r="N41" s="195">
        <v>0</v>
      </c>
      <c r="O41" s="195"/>
      <c r="P41" s="195"/>
      <c r="Q41" s="195"/>
      <c r="R41" s="195">
        <v>0</v>
      </c>
      <c r="S41" s="195"/>
      <c r="T41" s="195"/>
      <c r="U41" s="195"/>
      <c r="V41" s="195">
        <v>0</v>
      </c>
      <c r="W41" s="195"/>
      <c r="X41" s="195"/>
      <c r="Y41" s="195"/>
      <c r="Z41" s="195">
        <v>0</v>
      </c>
      <c r="AA41" s="195"/>
      <c r="AB41" s="195"/>
      <c r="AC41" s="195"/>
      <c r="AD41" s="195"/>
      <c r="AE41" s="195"/>
      <c r="AF41" s="195"/>
      <c r="AG41" s="195">
        <v>7.0000000000000007E-2</v>
      </c>
      <c r="AH41" s="195"/>
      <c r="AI41" s="195"/>
      <c r="AJ41" s="195"/>
      <c r="AK41" s="195"/>
      <c r="AL41" s="195"/>
      <c r="AM41" s="195"/>
      <c r="AN41" s="195"/>
      <c r="AO41" s="195"/>
      <c r="AP41" s="195">
        <v>0</v>
      </c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>
        <v>7.0000000000000007E-2</v>
      </c>
      <c r="BM41" s="195"/>
      <c r="BN41" s="195"/>
      <c r="BO41" s="195"/>
      <c r="BP41" s="195"/>
      <c r="BQ41" s="195"/>
      <c r="BR41" s="195"/>
      <c r="BS41" s="199"/>
    </row>
    <row r="42" spans="1:71" s="193" customFormat="1" x14ac:dyDescent="0.25">
      <c r="A42" s="188">
        <v>28</v>
      </c>
      <c r="B42" s="189" t="s">
        <v>330</v>
      </c>
      <c r="C42" s="190" t="s">
        <v>325</v>
      </c>
      <c r="D42" s="190" t="s">
        <v>177</v>
      </c>
      <c r="E42" s="191">
        <v>0.08</v>
      </c>
      <c r="F42" s="192" t="s">
        <v>286</v>
      </c>
      <c r="G42" s="231" t="s">
        <v>283</v>
      </c>
      <c r="H42" s="188" t="s">
        <v>335</v>
      </c>
      <c r="I42" s="194"/>
      <c r="J42" s="194"/>
      <c r="K42" s="194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9"/>
    </row>
    <row r="43" spans="1:71" s="193" customFormat="1" x14ac:dyDescent="0.25">
      <c r="A43" s="188">
        <v>29</v>
      </c>
      <c r="B43" s="189" t="s">
        <v>331</v>
      </c>
      <c r="C43" s="190" t="s">
        <v>325</v>
      </c>
      <c r="D43" s="190" t="s">
        <v>177</v>
      </c>
      <c r="E43" s="191">
        <v>7.0000000000000007E-2</v>
      </c>
      <c r="F43" s="192" t="s">
        <v>177</v>
      </c>
      <c r="G43" s="231" t="s">
        <v>283</v>
      </c>
      <c r="H43" s="188" t="s">
        <v>335</v>
      </c>
      <c r="I43" s="194"/>
      <c r="J43" s="194"/>
      <c r="K43" s="194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9"/>
    </row>
    <row r="44" spans="1:71" s="219" customFormat="1" x14ac:dyDescent="0.2">
      <c r="A44" s="202" t="s">
        <v>308</v>
      </c>
      <c r="B44" s="235" t="s">
        <v>20</v>
      </c>
      <c r="C44" s="213"/>
      <c r="D44" s="213"/>
      <c r="E44" s="214"/>
      <c r="F44" s="215"/>
      <c r="G44" s="232"/>
      <c r="H44" s="202"/>
      <c r="I44" s="216"/>
      <c r="J44" s="216"/>
      <c r="K44" s="216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8"/>
    </row>
    <row r="45" spans="1:71" s="193" customFormat="1" x14ac:dyDescent="0.25">
      <c r="A45" s="188">
        <v>30</v>
      </c>
      <c r="B45" s="189" t="s">
        <v>333</v>
      </c>
      <c r="C45" s="190" t="s">
        <v>332</v>
      </c>
      <c r="D45" s="190" t="s">
        <v>175</v>
      </c>
      <c r="E45" s="191">
        <v>0.1</v>
      </c>
      <c r="F45" s="192" t="s">
        <v>289</v>
      </c>
      <c r="G45" s="231" t="s">
        <v>284</v>
      </c>
      <c r="H45" s="188" t="s">
        <v>335</v>
      </c>
      <c r="I45" s="194">
        <f t="shared" ref="I45" si="48">J45+N45+Q45+R45+V45+Z45+AD45+AE45+AF45</f>
        <v>0</v>
      </c>
      <c r="J45" s="194">
        <f t="shared" ref="J45" si="49">K45+L45+M45</f>
        <v>0</v>
      </c>
      <c r="K45" s="194"/>
      <c r="L45" s="195"/>
      <c r="M45" s="195"/>
      <c r="N45" s="195">
        <f t="shared" ref="N45" si="50">O45+P45</f>
        <v>0</v>
      </c>
      <c r="O45" s="195"/>
      <c r="P45" s="195"/>
      <c r="Q45" s="195"/>
      <c r="R45" s="195">
        <f t="shared" ref="R45" si="51">S45+T45+U45</f>
        <v>0</v>
      </c>
      <c r="S45" s="203"/>
      <c r="T45" s="203"/>
      <c r="U45" s="203"/>
      <c r="V45" s="195">
        <f t="shared" ref="V45" si="52">W45+X45+Y45</f>
        <v>0</v>
      </c>
      <c r="W45" s="203"/>
      <c r="X45" s="203"/>
      <c r="Y45" s="203"/>
      <c r="Z45" s="195">
        <f t="shared" ref="Z45" si="53">AA45+AB45+AC45</f>
        <v>0</v>
      </c>
      <c r="AA45" s="195"/>
      <c r="AB45" s="195"/>
      <c r="AC45" s="195"/>
      <c r="AD45" s="195"/>
      <c r="AE45" s="195"/>
      <c r="AF45" s="195"/>
      <c r="AG45" s="195">
        <f t="shared" ref="AG45" si="54">SUM(AH45:AP45)+SUM(BG45:BR45)</f>
        <v>0.1</v>
      </c>
      <c r="AH45" s="195"/>
      <c r="AI45" s="195"/>
      <c r="AJ45" s="195"/>
      <c r="AK45" s="195"/>
      <c r="AL45" s="195"/>
      <c r="AM45" s="195"/>
      <c r="AN45" s="195"/>
      <c r="AO45" s="195"/>
      <c r="AP45" s="195">
        <f t="shared" ref="AP45" si="55">SUM(AQ45:BF45)</f>
        <v>0.1</v>
      </c>
      <c r="AQ45" s="195"/>
      <c r="AR45" s="195"/>
      <c r="AS45" s="195"/>
      <c r="AT45" s="195"/>
      <c r="AU45" s="195">
        <v>0.1</v>
      </c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204"/>
    </row>
    <row r="46" spans="1:71" s="219" customFormat="1" x14ac:dyDescent="0.25">
      <c r="A46" s="202" t="s">
        <v>310</v>
      </c>
      <c r="B46" s="235" t="s">
        <v>23</v>
      </c>
      <c r="C46" s="213"/>
      <c r="D46" s="213"/>
      <c r="E46" s="214"/>
      <c r="F46" s="215"/>
      <c r="G46" s="232"/>
      <c r="H46" s="202"/>
      <c r="I46" s="227"/>
      <c r="J46" s="227"/>
      <c r="K46" s="227"/>
      <c r="L46" s="224"/>
      <c r="M46" s="224"/>
      <c r="N46" s="217"/>
      <c r="O46" s="224"/>
      <c r="P46" s="224"/>
      <c r="Q46" s="224"/>
      <c r="R46" s="217"/>
      <c r="S46" s="225"/>
      <c r="T46" s="225"/>
      <c r="U46" s="225"/>
      <c r="V46" s="217"/>
      <c r="W46" s="225"/>
      <c r="X46" s="225"/>
      <c r="Y46" s="225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6"/>
    </row>
    <row r="47" spans="1:71" s="193" customFormat="1" x14ac:dyDescent="0.2">
      <c r="A47" s="188">
        <v>31</v>
      </c>
      <c r="B47" s="189" t="s">
        <v>348</v>
      </c>
      <c r="C47" s="190" t="s">
        <v>334</v>
      </c>
      <c r="D47" s="190" t="s">
        <v>175</v>
      </c>
      <c r="E47" s="191">
        <v>0.02</v>
      </c>
      <c r="F47" s="192" t="s">
        <v>171</v>
      </c>
      <c r="G47" s="231" t="s">
        <v>284</v>
      </c>
      <c r="H47" s="188" t="s">
        <v>335</v>
      </c>
      <c r="I47" s="194">
        <f t="shared" ref="I47:I49" si="56">J47+N47+Q47+R47+V47+Z47+AD47+AE47+AF47</f>
        <v>0.1</v>
      </c>
      <c r="J47" s="194">
        <f t="shared" ref="J47:J49" si="57">K47+L47+M47</f>
        <v>0.1</v>
      </c>
      <c r="K47" s="194">
        <v>0.1</v>
      </c>
      <c r="L47" s="195"/>
      <c r="M47" s="195"/>
      <c r="N47" s="195">
        <f t="shared" ref="N47:N49" si="58">O47+P47</f>
        <v>0</v>
      </c>
      <c r="O47" s="195"/>
      <c r="P47" s="195"/>
      <c r="Q47" s="195"/>
      <c r="R47" s="195">
        <f t="shared" ref="R47:R49" si="59">S47+T47+U47</f>
        <v>0</v>
      </c>
      <c r="S47" s="195"/>
      <c r="T47" s="195"/>
      <c r="U47" s="195"/>
      <c r="V47" s="195">
        <f t="shared" ref="V47:V49" si="60">W47+X47+Y47</f>
        <v>0</v>
      </c>
      <c r="W47" s="195"/>
      <c r="X47" s="195"/>
      <c r="Y47" s="195"/>
      <c r="Z47" s="195">
        <f t="shared" ref="Z47:Z49" si="61">AA47+AB47+AC47</f>
        <v>0</v>
      </c>
      <c r="AA47" s="195"/>
      <c r="AB47" s="195"/>
      <c r="AC47" s="195"/>
      <c r="AD47" s="195"/>
      <c r="AE47" s="195"/>
      <c r="AF47" s="195"/>
      <c r="AG47" s="195">
        <f t="shared" ref="AG47:AG49" si="62">SUM(AH47:AP47)+SUM(BG47:BR47)</f>
        <v>0</v>
      </c>
      <c r="AH47" s="195"/>
      <c r="AI47" s="195"/>
      <c r="AJ47" s="195"/>
      <c r="AK47" s="195"/>
      <c r="AL47" s="195"/>
      <c r="AM47" s="195"/>
      <c r="AN47" s="195"/>
      <c r="AO47" s="195"/>
      <c r="AP47" s="195">
        <f t="shared" ref="AP47:AP49" si="63">SUM(AQ47:BF47)</f>
        <v>0</v>
      </c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200"/>
    </row>
    <row r="48" spans="1:71" s="193" customFormat="1" x14ac:dyDescent="0.25">
      <c r="A48" s="188">
        <v>32</v>
      </c>
      <c r="B48" s="189" t="s">
        <v>349</v>
      </c>
      <c r="C48" s="190" t="s">
        <v>334</v>
      </c>
      <c r="D48" s="190" t="s">
        <v>175</v>
      </c>
      <c r="E48" s="191">
        <v>0.02</v>
      </c>
      <c r="F48" s="192" t="s">
        <v>171</v>
      </c>
      <c r="G48" s="231" t="s">
        <v>284</v>
      </c>
      <c r="H48" s="188" t="s">
        <v>335</v>
      </c>
      <c r="I48" s="194">
        <f t="shared" si="56"/>
        <v>0</v>
      </c>
      <c r="J48" s="194">
        <f t="shared" si="57"/>
        <v>0</v>
      </c>
      <c r="K48" s="194"/>
      <c r="L48" s="195"/>
      <c r="M48" s="195"/>
      <c r="N48" s="195">
        <f t="shared" si="58"/>
        <v>0</v>
      </c>
      <c r="O48" s="196"/>
      <c r="P48" s="196"/>
      <c r="Q48" s="197"/>
      <c r="R48" s="195">
        <f t="shared" si="59"/>
        <v>0</v>
      </c>
      <c r="S48" s="211"/>
      <c r="T48" s="211"/>
      <c r="U48" s="211"/>
      <c r="V48" s="195">
        <f t="shared" si="60"/>
        <v>0</v>
      </c>
      <c r="W48" s="211"/>
      <c r="X48" s="211"/>
      <c r="Y48" s="211"/>
      <c r="Z48" s="197">
        <f t="shared" si="61"/>
        <v>0</v>
      </c>
      <c r="AA48" s="197"/>
      <c r="AB48" s="197"/>
      <c r="AC48" s="197"/>
      <c r="AD48" s="195"/>
      <c r="AE48" s="195"/>
      <c r="AF48" s="195"/>
      <c r="AG48" s="195">
        <f t="shared" si="62"/>
        <v>0</v>
      </c>
      <c r="AH48" s="195"/>
      <c r="AI48" s="195"/>
      <c r="AJ48" s="195"/>
      <c r="AK48" s="195"/>
      <c r="AL48" s="195"/>
      <c r="AM48" s="195"/>
      <c r="AN48" s="195"/>
      <c r="AO48" s="195"/>
      <c r="AP48" s="195">
        <f t="shared" si="63"/>
        <v>0</v>
      </c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212"/>
    </row>
    <row r="49" spans="1:71" s="193" customFormat="1" x14ac:dyDescent="0.25">
      <c r="A49" s="188">
        <v>33</v>
      </c>
      <c r="B49" s="189" t="s">
        <v>350</v>
      </c>
      <c r="C49" s="190" t="s">
        <v>334</v>
      </c>
      <c r="D49" s="190" t="s">
        <v>175</v>
      </c>
      <c r="E49" s="191">
        <v>0.02</v>
      </c>
      <c r="F49" s="192" t="s">
        <v>289</v>
      </c>
      <c r="G49" s="231" t="s">
        <v>284</v>
      </c>
      <c r="H49" s="188" t="s">
        <v>335</v>
      </c>
      <c r="I49" s="194">
        <f t="shared" si="56"/>
        <v>0.75</v>
      </c>
      <c r="J49" s="194">
        <f t="shared" si="57"/>
        <v>0</v>
      </c>
      <c r="K49" s="194"/>
      <c r="L49" s="195"/>
      <c r="M49" s="195"/>
      <c r="N49" s="195">
        <f t="shared" si="58"/>
        <v>0.4</v>
      </c>
      <c r="O49" s="195"/>
      <c r="P49" s="195">
        <v>0.4</v>
      </c>
      <c r="Q49" s="195">
        <v>0.35</v>
      </c>
      <c r="R49" s="195">
        <f t="shared" si="59"/>
        <v>0</v>
      </c>
      <c r="S49" s="195"/>
      <c r="T49" s="195"/>
      <c r="U49" s="195"/>
      <c r="V49" s="195">
        <f t="shared" si="60"/>
        <v>0</v>
      </c>
      <c r="W49" s="195"/>
      <c r="X49" s="195"/>
      <c r="Y49" s="195"/>
      <c r="Z49" s="195">
        <f t="shared" si="61"/>
        <v>0</v>
      </c>
      <c r="AA49" s="195"/>
      <c r="AB49" s="195"/>
      <c r="AC49" s="195"/>
      <c r="AD49" s="195"/>
      <c r="AE49" s="195"/>
      <c r="AF49" s="195"/>
      <c r="AG49" s="195">
        <f t="shared" si="62"/>
        <v>0</v>
      </c>
      <c r="AH49" s="195"/>
      <c r="AI49" s="195"/>
      <c r="AJ49" s="195"/>
      <c r="AK49" s="195"/>
      <c r="AL49" s="195"/>
      <c r="AM49" s="195"/>
      <c r="AN49" s="195"/>
      <c r="AO49" s="195"/>
      <c r="AP49" s="195">
        <f t="shared" si="63"/>
        <v>0</v>
      </c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9"/>
    </row>
    <row r="50" spans="1:71" s="193" customFormat="1" x14ac:dyDescent="0.25">
      <c r="A50" s="188">
        <v>34</v>
      </c>
      <c r="B50" s="189" t="s">
        <v>351</v>
      </c>
      <c r="C50" s="190" t="s">
        <v>334</v>
      </c>
      <c r="D50" s="190" t="s">
        <v>175</v>
      </c>
      <c r="E50" s="191">
        <v>0.01</v>
      </c>
      <c r="F50" s="192" t="s">
        <v>171</v>
      </c>
      <c r="G50" s="231" t="s">
        <v>284</v>
      </c>
      <c r="H50" s="188" t="s">
        <v>335</v>
      </c>
      <c r="I50" s="194"/>
      <c r="J50" s="194"/>
      <c r="K50" s="194"/>
      <c r="L50" s="195"/>
      <c r="M50" s="195"/>
      <c r="N50" s="195"/>
      <c r="O50" s="195"/>
      <c r="P50" s="195"/>
      <c r="Q50" s="195"/>
      <c r="R50" s="195"/>
      <c r="S50" s="203"/>
      <c r="T50" s="203"/>
      <c r="U50" s="203"/>
      <c r="V50" s="195"/>
      <c r="W50" s="203"/>
      <c r="X50" s="203"/>
      <c r="Y50" s="203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204"/>
    </row>
    <row r="51" spans="1:71" s="193" customFormat="1" x14ac:dyDescent="0.25">
      <c r="A51" s="188">
        <v>35</v>
      </c>
      <c r="B51" s="189" t="s">
        <v>352</v>
      </c>
      <c r="C51" s="190" t="s">
        <v>334</v>
      </c>
      <c r="D51" s="190" t="s">
        <v>175</v>
      </c>
      <c r="E51" s="191">
        <v>0.03</v>
      </c>
      <c r="F51" s="192" t="s">
        <v>289</v>
      </c>
      <c r="G51" s="231" t="s">
        <v>284</v>
      </c>
      <c r="H51" s="188">
        <v>2022</v>
      </c>
      <c r="I51" s="210"/>
      <c r="J51" s="210"/>
      <c r="K51" s="210"/>
      <c r="L51" s="197"/>
      <c r="M51" s="197"/>
      <c r="N51" s="195"/>
      <c r="O51" s="197"/>
      <c r="P51" s="197"/>
      <c r="Q51" s="197"/>
      <c r="R51" s="195"/>
      <c r="S51" s="211"/>
      <c r="T51" s="211"/>
      <c r="U51" s="211"/>
      <c r="V51" s="195"/>
      <c r="W51" s="211"/>
      <c r="X51" s="211"/>
      <c r="Y51" s="211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212"/>
    </row>
  </sheetData>
  <mergeCells count="11">
    <mergeCell ref="I5:BS5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B52:B1048576 B4:B6 A2:A3 B1">
    <cfRule type="duplicateValues" dxfId="6" priority="20"/>
  </conditionalFormatting>
  <conditionalFormatting sqref="B7">
    <cfRule type="duplicateValues" dxfId="5" priority="17"/>
  </conditionalFormatting>
  <conditionalFormatting sqref="B11">
    <cfRule type="duplicateValues" dxfId="4" priority="16"/>
  </conditionalFormatting>
  <conditionalFormatting sqref="B15">
    <cfRule type="duplicateValues" dxfId="3" priority="15"/>
  </conditionalFormatting>
  <conditionalFormatting sqref="B21">
    <cfRule type="duplicateValues" dxfId="2" priority="13"/>
  </conditionalFormatting>
  <conditionalFormatting sqref="A5:A6">
    <cfRule type="duplicateValues" dxfId="1" priority="22"/>
  </conditionalFormatting>
  <conditionalFormatting sqref="B12:B14 B16:B20 B8:B10 B22:B51">
    <cfRule type="duplicateValues" dxfId="0" priority="38"/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H_01</vt:lpstr>
      <vt:lpstr>H_11</vt:lpstr>
      <vt:lpstr>Dau gia dat</vt:lpstr>
      <vt:lpstr>H_01!Print_Area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2021-09-27T02:15:28Z</cp:lastPrinted>
  <dcterms:created xsi:type="dcterms:W3CDTF">2021-09-27T01:52:20Z</dcterms:created>
  <dcterms:modified xsi:type="dcterms:W3CDTF">2021-10-08T03:52:36Z</dcterms:modified>
</cp:coreProperties>
</file>